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lendaleca-my.sharepoint.com/personal/mkavarian_glendaleca_gov/Documents/Desktop/Library Tab ZoomGrants 2025-2026/"/>
    </mc:Choice>
  </mc:AlternateContent>
  <xr:revisionPtr revIDLastSave="5" documentId="13_ncr:1_{3E38D5C7-2B98-41A9-B695-8309BF3B0775}" xr6:coauthVersionLast="47" xr6:coauthVersionMax="47" xr10:uidLastSave="{58423687-3BE0-4943-B6C6-0EB96265B26F}"/>
  <bookViews>
    <workbookView xWindow="-28920" yWindow="4185" windowWidth="29040" windowHeight="17640" tabRatio="971" xr2:uid="{00000000-000D-0000-FFFF-FFFF00000000}"/>
  </bookViews>
  <sheets>
    <sheet name="Agency Worksheet" sheetId="50" r:id="rId1"/>
    <sheet name="Acerno_Cache_XXXXX" sheetId="30" state="veryHidden" r:id="rId2"/>
    <sheet name="(Did not Apply) - PATH Ventures" sheetId="11" state="hidden" r:id="rId3"/>
    <sheet name="DNA - Glendale Adventist Med " sheetId="23" state="hidden" r:id="rId4"/>
    <sheet name="DNA - Armenian Yth Assc of CA" sheetId="28" state="hidden" r:id="rId5"/>
    <sheet name="DNA - All for Hlth" sheetId="26" state="hidden" r:id="rId6"/>
    <sheet name="DNA - Glendale Healthy Kids" sheetId="24" state="hidden" r:id="rId7"/>
    <sheet name="CCHC" sheetId="44" state="hidden" r:id="rId8"/>
    <sheet name="YMCA" sheetId="46" state="hidden" r:id="rId9"/>
    <sheet name="AGBU" sheetId="48" state="hidden" r:id="rId10"/>
  </sheets>
  <definedNames>
    <definedName name="_xlnm.Print_Area" localSheetId="2">'(Did not Apply) - PATH Ventures'!$A$1:$L$22</definedName>
    <definedName name="_xlnm.Print_Area" localSheetId="5">'DNA - All for Hlth'!$A$1:$L$22</definedName>
    <definedName name="_xlnm.Print_Area" localSheetId="4">'DNA - Armenian Yth Assc of CA'!$A$1:$U$23</definedName>
    <definedName name="_xlnm.Print_Area" localSheetId="3">'DNA - Glendale Adventist Med '!$A$1:$L$22</definedName>
    <definedName name="_xlnm.Print_Area" localSheetId="6">'DNA - Glendale Healthy Kids'!$A$1:$L$21</definedName>
    <definedName name="_xlnm.Print_Titles" localSheetId="2">'(Did not Apply) - PATH Ventures'!$A:$D,'(Did not Apply) - PATH Ventures'!$1:$2</definedName>
    <definedName name="_xlnm.Print_Titles" localSheetId="5">'DNA - All for Hlth'!$A:$D,'DNA - All for Hlth'!$1:$2</definedName>
    <definedName name="_xlnm.Print_Titles" localSheetId="4">'DNA - Armenian Yth Assc of CA'!$A:$D,'DNA - Armenian Yth Assc of CA'!$1:$2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" i="50" l="1"/>
  <c r="N11" i="50"/>
  <c r="M10" i="50"/>
  <c r="M3" i="50"/>
  <c r="J10" i="50"/>
  <c r="P6" i="50"/>
  <c r="J2" i="50"/>
  <c r="J3" i="50" l="1"/>
  <c r="P3" i="50"/>
  <c r="J6" i="50"/>
  <c r="M6" i="50"/>
  <c r="N10" i="50"/>
  <c r="P10" i="50" s="1"/>
  <c r="P10" i="48"/>
  <c r="M10" i="48"/>
  <c r="J10" i="48"/>
  <c r="P6" i="48"/>
  <c r="M6" i="48"/>
  <c r="J6" i="48"/>
  <c r="P3" i="48"/>
  <c r="M3" i="48"/>
  <c r="J3" i="48"/>
  <c r="M2" i="48"/>
  <c r="J2" i="48"/>
  <c r="P10" i="46" l="1"/>
  <c r="M10" i="46"/>
  <c r="J10" i="46"/>
  <c r="P6" i="46"/>
  <c r="M6" i="46"/>
  <c r="J6" i="46"/>
  <c r="P3" i="46"/>
  <c r="M3" i="46"/>
  <c r="J3" i="46"/>
  <c r="P2" i="46"/>
  <c r="M2" i="46"/>
  <c r="J2" i="46"/>
  <c r="P10" i="44"/>
  <c r="M10" i="44"/>
  <c r="J10" i="44"/>
  <c r="P6" i="44"/>
  <c r="M6" i="44"/>
  <c r="J6" i="44"/>
  <c r="P3" i="44"/>
  <c r="M3" i="44"/>
  <c r="J3" i="44"/>
  <c r="P2" i="44"/>
  <c r="M2" i="44"/>
  <c r="J2" i="44"/>
  <c r="P19" i="11" l="1"/>
  <c r="R19" i="11" s="1"/>
  <c r="M19" i="11"/>
  <c r="O19" i="11" s="1"/>
  <c r="J19" i="11"/>
  <c r="L19" i="11" s="1"/>
  <c r="G19" i="11"/>
  <c r="I19" i="11" s="1"/>
  <c r="R16" i="11"/>
  <c r="O16" i="11"/>
  <c r="L16" i="11"/>
  <c r="I16" i="11"/>
  <c r="P13" i="11"/>
  <c r="M13" i="11"/>
  <c r="J13" i="11"/>
  <c r="G13" i="11"/>
  <c r="P12" i="11"/>
  <c r="M12" i="11"/>
  <c r="J12" i="11"/>
  <c r="G12" i="11"/>
  <c r="R9" i="11"/>
  <c r="O9" i="11"/>
  <c r="L9" i="11"/>
  <c r="I9" i="11"/>
  <c r="P7" i="11"/>
  <c r="M7" i="11"/>
  <c r="J7" i="11"/>
  <c r="G7" i="11"/>
  <c r="P6" i="11"/>
  <c r="M6" i="11"/>
  <c r="J6" i="11"/>
  <c r="L6" i="11" s="1"/>
  <c r="G6" i="11"/>
  <c r="P3" i="11"/>
  <c r="R3" i="11" s="1"/>
  <c r="M3" i="11"/>
  <c r="O3" i="11" s="1"/>
  <c r="J3" i="11"/>
  <c r="L3" i="11" s="1"/>
  <c r="G3" i="11"/>
  <c r="I3" i="11" s="1"/>
  <c r="P19" i="24"/>
  <c r="R19" i="24" s="1"/>
  <c r="M19" i="24"/>
  <c r="O19" i="24" s="1"/>
  <c r="J19" i="24"/>
  <c r="L19" i="24" s="1"/>
  <c r="G19" i="24"/>
  <c r="I19" i="24" s="1"/>
  <c r="R16" i="24"/>
  <c r="O16" i="24"/>
  <c r="L16" i="24"/>
  <c r="I16" i="24"/>
  <c r="P13" i="24"/>
  <c r="M13" i="24"/>
  <c r="J13" i="24"/>
  <c r="G13" i="24"/>
  <c r="P12" i="24"/>
  <c r="R12" i="24" s="1"/>
  <c r="M12" i="24"/>
  <c r="L12" i="24"/>
  <c r="I12" i="24"/>
  <c r="G12" i="24"/>
  <c r="R9" i="24"/>
  <c r="O9" i="24"/>
  <c r="L9" i="24"/>
  <c r="I9" i="24"/>
  <c r="R6" i="24"/>
  <c r="O6" i="24"/>
  <c r="L6" i="24"/>
  <c r="I6" i="24"/>
  <c r="P3" i="24"/>
  <c r="R3" i="24" s="1"/>
  <c r="M3" i="24"/>
  <c r="O3" i="24" s="1"/>
  <c r="J3" i="24"/>
  <c r="L3" i="24" s="1"/>
  <c r="G3" i="24"/>
  <c r="I3" i="24" s="1"/>
  <c r="T19" i="26"/>
  <c r="S19" i="26"/>
  <c r="P19" i="26"/>
  <c r="R19" i="26" s="1"/>
  <c r="M19" i="26"/>
  <c r="O19" i="26" s="1"/>
  <c r="J19" i="26"/>
  <c r="L19" i="26" s="1"/>
  <c r="G19" i="26"/>
  <c r="I19" i="26" s="1"/>
  <c r="T16" i="26"/>
  <c r="R16" i="26"/>
  <c r="O16" i="26"/>
  <c r="M16" i="26"/>
  <c r="L16" i="26"/>
  <c r="I16" i="26"/>
  <c r="S13" i="26"/>
  <c r="P13" i="26"/>
  <c r="M13" i="26"/>
  <c r="J13" i="26"/>
  <c r="G13" i="26"/>
  <c r="S12" i="26"/>
  <c r="P12" i="26"/>
  <c r="M12" i="26"/>
  <c r="J12" i="26"/>
  <c r="L12" i="26" s="1"/>
  <c r="G12" i="26"/>
  <c r="T9" i="26"/>
  <c r="R9" i="26"/>
  <c r="O9" i="26"/>
  <c r="L9" i="26"/>
  <c r="I9" i="26"/>
  <c r="T6" i="26"/>
  <c r="R6" i="26"/>
  <c r="O6" i="26"/>
  <c r="L6" i="26"/>
  <c r="I6" i="26"/>
  <c r="S3" i="26"/>
  <c r="T3" i="26" s="1"/>
  <c r="P3" i="26"/>
  <c r="R3" i="26" s="1"/>
  <c r="M3" i="26"/>
  <c r="O3" i="26" s="1"/>
  <c r="J3" i="26"/>
  <c r="L3" i="26" s="1"/>
  <c r="G3" i="26"/>
  <c r="I3" i="26" s="1"/>
  <c r="L19" i="28"/>
  <c r="I19" i="28"/>
  <c r="L16" i="28"/>
  <c r="I16" i="28"/>
  <c r="J13" i="28"/>
  <c r="G13" i="28"/>
  <c r="J12" i="28"/>
  <c r="G12" i="28"/>
  <c r="J10" i="28"/>
  <c r="L9" i="28" s="1"/>
  <c r="G10" i="28"/>
  <c r="I9" i="28"/>
  <c r="L6" i="28"/>
  <c r="I6" i="28"/>
  <c r="J3" i="28"/>
  <c r="G3" i="28"/>
  <c r="I3" i="28" s="1"/>
  <c r="R19" i="23"/>
  <c r="O19" i="23"/>
  <c r="L19" i="23"/>
  <c r="I19" i="23"/>
  <c r="R16" i="23"/>
  <c r="O16" i="23"/>
  <c r="L16" i="23"/>
  <c r="I16" i="23"/>
  <c r="P13" i="23"/>
  <c r="M13" i="23"/>
  <c r="J13" i="23"/>
  <c r="G13" i="23"/>
  <c r="P12" i="23"/>
  <c r="R12" i="23" s="1"/>
  <c r="M12" i="23"/>
  <c r="O12" i="23" s="1"/>
  <c r="J12" i="23"/>
  <c r="G12" i="23"/>
  <c r="I12" i="23" s="1"/>
  <c r="R9" i="23"/>
  <c r="O9" i="23"/>
  <c r="L9" i="23"/>
  <c r="I9" i="23"/>
  <c r="R6" i="23"/>
  <c r="O6" i="23"/>
  <c r="L6" i="23"/>
  <c r="I6" i="23"/>
  <c r="R3" i="23"/>
  <c r="M3" i="23"/>
  <c r="J3" i="23"/>
  <c r="G3" i="23"/>
  <c r="L12" i="11" l="1"/>
  <c r="O12" i="11"/>
  <c r="O6" i="11"/>
  <c r="L12" i="28"/>
  <c r="O12" i="26"/>
  <c r="R12" i="26"/>
  <c r="O12" i="24"/>
  <c r="I6" i="11"/>
  <c r="I12" i="11"/>
  <c r="R6" i="11"/>
  <c r="R12" i="11"/>
  <c r="L12" i="23"/>
  <c r="L3" i="28"/>
  <c r="I12" i="28"/>
  <c r="I12" i="26"/>
  <c r="T12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Salim, Sameel</author>
  </authors>
  <commentList>
    <comment ref="G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Salim, Sameel:</t>
        </r>
        <r>
          <rPr>
            <sz val="9"/>
            <color indexed="81"/>
            <rFont val="Tahoma"/>
            <family val="2"/>
          </rPr>
          <t xml:space="preserve">
These numbers were forced using the Footnotes on pg 10 for 2014 and pg 10 for 2013</t>
        </r>
      </text>
    </comment>
    <comment ref="J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Salim, Sameel:</t>
        </r>
        <r>
          <rPr>
            <sz val="9"/>
            <color indexed="81"/>
            <rFont val="Tahoma"/>
            <family val="2"/>
          </rPr>
          <t xml:space="preserve">
These numbers were forced using the Footnotes on pg 10 for 2014 and pg 10 for 2013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Salim, Sameel</author>
  </authors>
  <commentList>
    <comment ref="G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Salim, Sameel:</t>
        </r>
        <r>
          <rPr>
            <sz val="9"/>
            <color indexed="81"/>
            <rFont val="Tahoma"/>
            <family val="2"/>
          </rPr>
          <t xml:space="preserve">
Picked up other general and administrative costs. </t>
        </r>
      </text>
    </comment>
    <comment ref="E10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Salim, Sameel:</t>
        </r>
        <r>
          <rPr>
            <sz val="9"/>
            <color indexed="81"/>
            <rFont val="Tahoma"/>
            <family val="2"/>
          </rPr>
          <t xml:space="preserve">
There is no Unrestricted Net Asset calculation on the financials. Therefore, I calculated OE and used that instead.
</t>
        </r>
      </text>
    </comment>
  </commentList>
</comments>
</file>

<file path=xl/sharedStrings.xml><?xml version="1.0" encoding="utf-8"?>
<sst xmlns="http://schemas.openxmlformats.org/spreadsheetml/2006/main" count="639" uniqueCount="129">
  <si>
    <t>Ratio</t>
  </si>
  <si>
    <t>Reliance on Source of Income</t>
  </si>
  <si>
    <t>Largest type of income</t>
  </si>
  <si>
    <t>Total Income</t>
  </si>
  <si>
    <t>=</t>
  </si>
  <si>
    <t>Total expenses</t>
  </si>
  <si>
    <t>Total Expenses</t>
  </si>
  <si>
    <t>Functional Cost Allocation</t>
  </si>
  <si>
    <t>Total fundraising, general &amp; admin expense</t>
  </si>
  <si>
    <t>Fundraising Efficiency</t>
  </si>
  <si>
    <t>Contributed income</t>
  </si>
  <si>
    <t>Fundraising expense</t>
  </si>
  <si>
    <t>Current Ratio</t>
  </si>
  <si>
    <t>Current assets</t>
  </si>
  <si>
    <t>Current liabilities</t>
  </si>
  <si>
    <t>Debt Ratio</t>
  </si>
  <si>
    <t>Total liabilities</t>
  </si>
  <si>
    <t>Total unrestricted net assets</t>
  </si>
  <si>
    <t>Defensive Interval</t>
  </si>
  <si>
    <t>Cash + Marketable Securities + Receivables</t>
  </si>
  <si>
    <t>Average Monthly Expenses</t>
  </si>
  <si>
    <t>Total Expenses/12</t>
  </si>
  <si>
    <t>Reflects how many months the organization could operate if no additional funds were received.</t>
  </si>
  <si>
    <t>The average dollar amount of contributions raised from each dollar spent on fundraising.</t>
  </si>
  <si>
    <t>How much the organization is relying on funding from others, such as loans, payables, and obligated funds. Indication of how much of a cushion there is.</t>
  </si>
  <si>
    <t>What it tells us</t>
  </si>
  <si>
    <t>Total revenue and support</t>
  </si>
  <si>
    <t>Total expenses/12</t>
  </si>
  <si>
    <t>Total Unrestricted Net Assets</t>
  </si>
  <si>
    <t>June 30, 2009</t>
  </si>
  <si>
    <t>June 30, 2010</t>
  </si>
  <si>
    <t>Formula</t>
  </si>
  <si>
    <t>months</t>
  </si>
  <si>
    <t>An indication of the organization's ability to pay obligations in a timely manner (within 12 months).
A useful indicator of cash flow in the near future.</t>
  </si>
  <si>
    <t xml:space="preserve">
A ratio under 1 suggests that the company would be unable to pay off its obligations if they came due at that point.</t>
  </si>
  <si>
    <t>Awareness of the risk of a major reduction in income if this source of contributed income is reduced or stopped. May be helpful for more than one source of income, including special events.</t>
  </si>
  <si>
    <t>Fundraising</t>
  </si>
  <si>
    <t>Contributed income includes individual donors, corporate donors, foundation grants, fundraising events, government funds, in-kind donations, and planned giving.</t>
  </si>
  <si>
    <t>It is preferable that this number be lower to reflect more money be spent on program related expenses.</t>
  </si>
  <si>
    <t xml:space="preserve">Total liabilities </t>
  </si>
  <si>
    <t>A ratio that indicates what proportion of debt a company has relative to its assets. The measure gives an idea to the leverage of the company along with the potential risks the company faces in terms of its debt-load.
A debt ratio of greater than 1 indicates that a company has more debt than assets, meanwhile, a debt ratio of less than 1 indicates that an organization has more assets than debt. Used in conjunction with other measures of financial health, the debt ratio can help determine an organization's level of risk.</t>
  </si>
  <si>
    <t>June 30, 2011</t>
  </si>
  <si>
    <t>Fundraising + Supporting services</t>
  </si>
  <si>
    <t>Cash + Cash - Housing Long Beach program + Government contracts receivable + Prepaid expenses + Due from related party</t>
  </si>
  <si>
    <t>Cash + Cash - Housing Long Beach program + Government contracts receivable</t>
  </si>
  <si>
    <t>Government contract revenue</t>
  </si>
  <si>
    <t>Accounts payable + Accrued liabilities + Deferred revenue + Line of credit + Due to related party + Tenants deposits</t>
  </si>
  <si>
    <t>Total Liabilities</t>
  </si>
  <si>
    <t>Unrestricted Net Assets</t>
  </si>
  <si>
    <t>Total Current Liabilities</t>
  </si>
  <si>
    <t>Fundraising Expense</t>
  </si>
  <si>
    <t>Gov't contract revenue + Direct public support + Special events, net + Rent, in-kind</t>
  </si>
  <si>
    <t>Total Current Assets</t>
  </si>
  <si>
    <t>Since this is a ratio that is frequently calculated by others, including donors &amp; nonprofit watchdogs, nonprofits should be aware of their ration &amp; any changes over time.</t>
  </si>
  <si>
    <t>The Organization maintains its cash balances in a financial institution, the balances of which may, at times, exceed federally insured limits.</t>
  </si>
  <si>
    <t>General and Admin + Fundraising</t>
  </si>
  <si>
    <t>Cash + Investments + Unconditional promises to give</t>
  </si>
  <si>
    <t>In-kind donations OR foundation Contributions</t>
  </si>
  <si>
    <t>Total Public Support and Revenues</t>
  </si>
  <si>
    <t>*Values from the Statement of Activities have been taken from the Total column (Unrestricted + Temporary + Permanent).</t>
  </si>
  <si>
    <t>Foundation contributions + Individual Contributions + Net Special Events Revenue + In-kind donations</t>
  </si>
  <si>
    <t>*Values from the Statement of Activites have been taken from the Total column (Unrestricted + Temporary).</t>
  </si>
  <si>
    <t>Total unrestricted net assets*</t>
  </si>
  <si>
    <t>11. Glendale Healthy Kids</t>
  </si>
  <si>
    <t>10. PATH Ventures</t>
  </si>
  <si>
    <t>Total Unrestricted Revenues, Gains, and Support</t>
  </si>
  <si>
    <t>*For 2012, Unrestricted net assets before partnership investments is $228,808.</t>
  </si>
  <si>
    <t>Occasionally maintains cash balances in a financial institution that exceed federally insured limits.</t>
  </si>
  <si>
    <t>Cash + Contracts Receivable</t>
  </si>
  <si>
    <t>Current Liabilities</t>
  </si>
  <si>
    <t>Current Assets</t>
  </si>
  <si>
    <t>June 30, 2008</t>
  </si>
  <si>
    <t>General and administrative or Supportive Services + Fundraising</t>
  </si>
  <si>
    <t>Gov't Contracts or Patient service revenue, net of contractual allowances and discounts</t>
  </si>
  <si>
    <t>10. All for Health, Health for All</t>
  </si>
  <si>
    <t>Government grants +  Contributions + In-kind rent + Contributed Services + Donated pharmaceuticals and supplies</t>
  </si>
  <si>
    <t>* Per Note 2 to the financials statements, this entity does not have any temporary or permanently restricted net assets.</t>
  </si>
  <si>
    <t>*</t>
  </si>
  <si>
    <t>Cash + Accounts Receivable</t>
  </si>
  <si>
    <t>Donations</t>
  </si>
  <si>
    <t>***</t>
  </si>
  <si>
    <t>Total Assets - Liabilities</t>
  </si>
  <si>
    <t>Cash on Hand + Cash in Bank</t>
  </si>
  <si>
    <t>Total Operating Expenses</t>
  </si>
  <si>
    <t>*
=</t>
  </si>
  <si>
    <t>Youth Night + Events Night</t>
  </si>
  <si>
    <t>This appears to be a for-profit financial statement compilation</t>
  </si>
  <si>
    <t>* Fundraising expense not identifiable in financial statements resulting in no value for ratio calcuation.</t>
  </si>
  <si>
    <t>General and Administrative Support</t>
  </si>
  <si>
    <t>* The financial statements do not indicate any fundraising income/expenses.</t>
  </si>
  <si>
    <t>10. Glendale Adventist Medical Center</t>
  </si>
  <si>
    <t>12. Armenian Youth Association of California</t>
  </si>
  <si>
    <t>Total Revenue, Gains and other Support</t>
  </si>
  <si>
    <t xml:space="preserve">Total Liabilities </t>
  </si>
  <si>
    <t>Total Unrestricted Revenues, Gains, and Other Support</t>
  </si>
  <si>
    <t>Cash and Cash Equivalents+Marketable Securities+Patient Accounts Receivable+Receivables from Third-Party Payors+Other Receivables</t>
  </si>
  <si>
    <t>Net Patient Service Revenue</t>
  </si>
  <si>
    <t>Various G&amp;A Type Costs</t>
  </si>
  <si>
    <t>Total Revenue</t>
  </si>
  <si>
    <t>Fundraising Direct Expense</t>
  </si>
  <si>
    <t>Total Grant Revenue (State and Federal)</t>
  </si>
  <si>
    <t xml:space="preserve">Activity Income </t>
  </si>
  <si>
    <t xml:space="preserve">Cash and Cash Equivalents  + Accounts Receivable + Grants Receivable </t>
  </si>
  <si>
    <t>Financial Statement</t>
  </si>
  <si>
    <t>Page Number</t>
  </si>
  <si>
    <t>Income Statement p. xx</t>
  </si>
  <si>
    <t>Agency Formula</t>
  </si>
  <si>
    <t>Total Monthly Expenses</t>
  </si>
  <si>
    <t>Comprehensive Community Health Centers, Inc.</t>
  </si>
  <si>
    <t xml:space="preserve">YMCA of Glendale </t>
  </si>
  <si>
    <t>AGBU</t>
  </si>
  <si>
    <t>Balance Sheet p. 3</t>
  </si>
  <si>
    <t>Income Statement p.4</t>
  </si>
  <si>
    <t>Income Statement p.3</t>
  </si>
  <si>
    <t xml:space="preserve">A ratio that indicates what proportion of debt a company has relative to its assets. The measure gives an idea to the leverage of the company along with the potential risks the company faces in terms of its debt-load.
</t>
  </si>
  <si>
    <t xml:space="preserve">A ratio that indicates what proportion of debt a company has relative to its assets. The measure gives an idea to the leverage of the company along with the potential risks the company faces in terms of its debt-load.
</t>
  </si>
  <si>
    <t>Balance Sheet p. A-1</t>
  </si>
  <si>
    <t>Income Statement p. A-3</t>
  </si>
  <si>
    <t>Grants
Income Statement p. xx</t>
  </si>
  <si>
    <t>Program Service Fees
Income Statement p.4</t>
  </si>
  <si>
    <t>Balance Sheet p. 1</t>
  </si>
  <si>
    <t>Income Statement p. 1</t>
  </si>
  <si>
    <t xml:space="preserve">Gala Event in 2017
AGBU WDC
Activity Income </t>
  </si>
  <si>
    <t>Name of Agency</t>
  </si>
  <si>
    <t>Balance Sheet p. X</t>
  </si>
  <si>
    <t>Income Statement p. X</t>
  </si>
  <si>
    <t>Enter Dollar Amount</t>
  </si>
  <si>
    <t>Agency Authorized Accounting Firm: ________________________________________________ Signature: ________________________________________________________ Date:________________</t>
  </si>
  <si>
    <t>June 30,2023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</si>
</sst>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  <numFmt numFmtId="166" formatCode="_(&quot;$&quot;* #,##0_);_(&quot;$&quot;* \(#,##0\);_(&quot;$&quot;* &quot;-&quot;??_);_(@_)"/>
    <numFmt numFmtId="167" formatCode="&quot;$&quot;#,##0.00"/>
    <numFmt numFmtId="168" formatCode="0.00_);\(0.00\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6"/>
      <name val="Arial"/>
      <family val="2"/>
    </font>
    <font>
      <sz val="12"/>
      <color theme="0"/>
      <name val="Arial"/>
      <family val="2"/>
    </font>
    <font>
      <i/>
      <sz val="12"/>
      <color rgb="FFFF0000"/>
      <name val="Arial"/>
      <family val="2"/>
    </font>
    <font>
      <sz val="11"/>
      <name val="Arial"/>
      <family val="2"/>
    </font>
    <font>
      <b/>
      <sz val="14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4">
    <xf numFmtId="0" fontId="0" fillId="0" borderId="0" xfId="0"/>
    <xf numFmtId="0" fontId="4" fillId="0" borderId="0" xfId="0" applyFont="1"/>
    <xf numFmtId="164" fontId="0" fillId="0" borderId="0" xfId="1" applyNumberFormat="1" applyFont="1"/>
    <xf numFmtId="0" fontId="0" fillId="0" borderId="0" xfId="0" applyAlignment="1">
      <alignment wrapText="1"/>
    </xf>
    <xf numFmtId="0" fontId="4" fillId="2" borderId="1" xfId="0" applyFont="1" applyFill="1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7" xfId="0" applyFill="1" applyBorder="1"/>
    <xf numFmtId="0" fontId="0" fillId="2" borderId="0" xfId="0" quotePrefix="1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3" xfId="0" applyFill="1" applyBorder="1"/>
    <xf numFmtId="0" fontId="0" fillId="2" borderId="6" xfId="0" quotePrefix="1" applyFill="1" applyBorder="1"/>
    <xf numFmtId="0" fontId="0" fillId="2" borderId="11" xfId="0" applyFill="1" applyBorder="1"/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164" fontId="0" fillId="2" borderId="6" xfId="1" applyNumberFormat="1" applyFont="1" applyFill="1" applyBorder="1"/>
    <xf numFmtId="0" fontId="0" fillId="2" borderId="12" xfId="0" applyFill="1" applyBorder="1" applyAlignment="1">
      <alignment wrapText="1"/>
    </xf>
    <xf numFmtId="0" fontId="0" fillId="2" borderId="0" xfId="0" quotePrefix="1" applyFill="1" applyBorder="1" applyAlignment="1">
      <alignment wrapText="1"/>
    </xf>
    <xf numFmtId="164" fontId="0" fillId="2" borderId="13" xfId="1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10" xfId="0" applyFill="1" applyBorder="1" applyAlignment="1">
      <alignment wrapText="1"/>
    </xf>
    <xf numFmtId="164" fontId="0" fillId="2" borderId="10" xfId="1" applyNumberFormat="1" applyFont="1" applyFill="1" applyBorder="1"/>
    <xf numFmtId="0" fontId="0" fillId="2" borderId="14" xfId="0" applyFill="1" applyBorder="1" applyAlignment="1">
      <alignment wrapText="1"/>
    </xf>
    <xf numFmtId="0" fontId="0" fillId="2" borderId="6" xfId="0" quotePrefix="1" applyFill="1" applyBorder="1" applyAlignment="1">
      <alignment wrapText="1"/>
    </xf>
    <xf numFmtId="164" fontId="0" fillId="2" borderId="15" xfId="1" applyNumberFormat="1" applyFont="1" applyFill="1" applyBorder="1"/>
    <xf numFmtId="164" fontId="0" fillId="0" borderId="0" xfId="1" applyNumberFormat="1" applyFont="1" applyFill="1" applyBorder="1"/>
    <xf numFmtId="0" fontId="0" fillId="0" borderId="0" xfId="0" applyFill="1" applyBorder="1" applyAlignment="1">
      <alignment wrapText="1"/>
    </xf>
    <xf numFmtId="0" fontId="4" fillId="2" borderId="9" xfId="0" applyFont="1" applyFill="1" applyBorder="1"/>
    <xf numFmtId="0" fontId="4" fillId="2" borderId="10" xfId="0" applyFont="1" applyFill="1" applyBorder="1"/>
    <xf numFmtId="0" fontId="4" fillId="2" borderId="3" xfId="0" applyFont="1" applyFill="1" applyBorder="1"/>
    <xf numFmtId="164" fontId="4" fillId="2" borderId="16" xfId="1" applyNumberFormat="1" applyFont="1" applyFill="1" applyBorder="1" applyAlignment="1"/>
    <xf numFmtId="164" fontId="4" fillId="2" borderId="1" xfId="1" applyNumberFormat="1" applyFont="1" applyFill="1" applyBorder="1" applyAlignment="1"/>
    <xf numFmtId="0" fontId="0" fillId="0" borderId="6" xfId="0" applyFill="1" applyBorder="1" applyAlignment="1">
      <alignment wrapText="1"/>
    </xf>
    <xf numFmtId="0" fontId="0" fillId="0" borderId="0" xfId="0" quotePrefix="1" applyFill="1" applyBorder="1" applyAlignment="1">
      <alignment wrapText="1"/>
    </xf>
    <xf numFmtId="164" fontId="0" fillId="0" borderId="13" xfId="1" applyNumberFormat="1" applyFont="1" applyFill="1" applyBorder="1"/>
    <xf numFmtId="0" fontId="0" fillId="0" borderId="10" xfId="0" applyFill="1" applyBorder="1" applyAlignment="1">
      <alignment wrapText="1"/>
    </xf>
    <xf numFmtId="164" fontId="0" fillId="0" borderId="10" xfId="1" applyNumberFormat="1" applyFont="1" applyFill="1" applyBorder="1"/>
    <xf numFmtId="0" fontId="0" fillId="0" borderId="3" xfId="0" applyFill="1" applyBorder="1"/>
    <xf numFmtId="0" fontId="0" fillId="0" borderId="6" xfId="0" quotePrefix="1" applyFill="1" applyBorder="1" applyAlignment="1">
      <alignment wrapText="1"/>
    </xf>
    <xf numFmtId="164" fontId="0" fillId="0" borderId="15" xfId="1" applyNumberFormat="1" applyFont="1" applyFill="1" applyBorder="1"/>
    <xf numFmtId="44" fontId="0" fillId="2" borderId="4" xfId="3" applyFont="1" applyFill="1" applyBorder="1"/>
    <xf numFmtId="44" fontId="0" fillId="0" borderId="4" xfId="3" applyFont="1" applyFill="1" applyBorder="1"/>
    <xf numFmtId="43" fontId="0" fillId="0" borderId="4" xfId="1" applyFont="1" applyFill="1" applyBorder="1"/>
    <xf numFmtId="43" fontId="0" fillId="2" borderId="4" xfId="1" applyFont="1" applyFill="1" applyBorder="1"/>
    <xf numFmtId="43" fontId="0" fillId="0" borderId="2" xfId="1" applyFont="1" applyFill="1" applyBorder="1"/>
    <xf numFmtId="43" fontId="0" fillId="2" borderId="2" xfId="1" applyFont="1" applyFill="1" applyBorder="1"/>
    <xf numFmtId="43" fontId="0" fillId="2" borderId="3" xfId="1" applyFont="1" applyFill="1" applyBorder="1"/>
    <xf numFmtId="43" fontId="0" fillId="0" borderId="3" xfId="1" applyFont="1" applyFill="1" applyBorder="1"/>
    <xf numFmtId="0" fontId="0" fillId="2" borderId="7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2" borderId="7" xfId="0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164" fontId="0" fillId="2" borderId="0" xfId="1" applyNumberFormat="1" applyFont="1" applyFill="1" applyBorder="1" applyAlignment="1">
      <alignment vertical="top"/>
    </xf>
    <xf numFmtId="164" fontId="0" fillId="0" borderId="0" xfId="1" applyNumberFormat="1" applyFont="1" applyFill="1" applyBorder="1" applyAlignment="1">
      <alignment vertical="top"/>
    </xf>
    <xf numFmtId="0" fontId="0" fillId="0" borderId="2" xfId="0" applyFill="1" applyBorder="1" applyAlignment="1">
      <alignment vertical="top"/>
    </xf>
    <xf numFmtId="0" fontId="0" fillId="0" borderId="0" xfId="0" applyAlignment="1">
      <alignment vertical="top"/>
    </xf>
    <xf numFmtId="43" fontId="0" fillId="2" borderId="2" xfId="1" applyFont="1" applyFill="1" applyBorder="1" applyAlignment="1">
      <alignment vertical="top"/>
    </xf>
    <xf numFmtId="43" fontId="0" fillId="0" borderId="2" xfId="1" applyFont="1" applyFill="1" applyBorder="1" applyAlignment="1">
      <alignment vertical="top"/>
    </xf>
    <xf numFmtId="43" fontId="0" fillId="2" borderId="2" xfId="1" applyFont="1" applyFill="1" applyBorder="1" applyAlignment="1">
      <alignment horizontal="right" vertical="top"/>
    </xf>
    <xf numFmtId="43" fontId="0" fillId="0" borderId="2" xfId="1" applyFont="1" applyFill="1" applyBorder="1" applyAlignment="1">
      <alignment horizontal="right" vertical="top"/>
    </xf>
    <xf numFmtId="0" fontId="0" fillId="0" borderId="0" xfId="0" applyFill="1" applyBorder="1"/>
    <xf numFmtId="0" fontId="0" fillId="2" borderId="2" xfId="0" applyFill="1" applyBorder="1" applyAlignment="1">
      <alignment horizontal="right" vertical="top"/>
    </xf>
    <xf numFmtId="0" fontId="0" fillId="2" borderId="0" xfId="0" applyFill="1" applyBorder="1"/>
    <xf numFmtId="0" fontId="0" fillId="0" borderId="0" xfId="0" applyBorder="1" applyAlignment="1">
      <alignment wrapText="1"/>
    </xf>
    <xf numFmtId="164" fontId="0" fillId="0" borderId="6" xfId="1" applyNumberFormat="1" applyFont="1" applyFill="1" applyBorder="1"/>
    <xf numFmtId="0" fontId="0" fillId="0" borderId="0" xfId="0" applyFill="1"/>
    <xf numFmtId="164" fontId="2" fillId="2" borderId="0" xfId="1" applyNumberFormat="1" applyFill="1" applyBorder="1" applyAlignment="1">
      <alignment vertical="top"/>
    </xf>
    <xf numFmtId="43" fontId="2" fillId="2" borderId="14" xfId="1" applyFont="1" applyFill="1" applyBorder="1" applyAlignment="1">
      <alignment wrapText="1"/>
    </xf>
    <xf numFmtId="43" fontId="2" fillId="2" borderId="6" xfId="1" quotePrefix="1" applyFont="1" applyFill="1" applyBorder="1"/>
    <xf numFmtId="43" fontId="2" fillId="2" borderId="6" xfId="1" applyFill="1" applyBorder="1"/>
    <xf numFmtId="43" fontId="2" fillId="2" borderId="0" xfId="1" applyFill="1" applyBorder="1" applyAlignment="1">
      <alignment vertical="top"/>
    </xf>
    <xf numFmtId="43" fontId="2" fillId="2" borderId="9" xfId="1" applyFill="1" applyBorder="1"/>
    <xf numFmtId="43" fontId="2" fillId="2" borderId="10" xfId="1" applyFill="1" applyBorder="1"/>
    <xf numFmtId="43" fontId="2" fillId="2" borderId="0" xfId="1" quotePrefix="1" applyFont="1" applyFill="1" applyBorder="1"/>
    <xf numFmtId="43" fontId="2" fillId="2" borderId="0" xfId="1" applyFill="1" applyBorder="1" applyAlignment="1">
      <alignment horizontal="right" vertical="top"/>
    </xf>
    <xf numFmtId="43" fontId="2" fillId="2" borderId="5" xfId="1" applyFill="1" applyBorder="1"/>
    <xf numFmtId="44" fontId="2" fillId="2" borderId="6" xfId="3" quotePrefix="1" applyFont="1" applyFill="1" applyBorder="1"/>
    <xf numFmtId="3" fontId="0" fillId="2" borderId="0" xfId="0" applyNumberFormat="1" applyFill="1" applyBorder="1" applyAlignment="1">
      <alignment vertical="top"/>
    </xf>
    <xf numFmtId="0" fontId="0" fillId="2" borderId="0" xfId="0" quotePrefix="1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vertical="top" wrapText="1"/>
    </xf>
    <xf numFmtId="44" fontId="0" fillId="2" borderId="2" xfId="3" quotePrefix="1" applyFont="1" applyFill="1" applyBorder="1"/>
    <xf numFmtId="2" fontId="0" fillId="2" borderId="4" xfId="0" quotePrefix="1" applyNumberFormat="1" applyFill="1" applyBorder="1"/>
    <xf numFmtId="2" fontId="0" fillId="2" borderId="2" xfId="0" quotePrefix="1" applyNumberFormat="1" applyFill="1" applyBorder="1"/>
    <xf numFmtId="0" fontId="4" fillId="2" borderId="16" xfId="0" applyFont="1" applyFill="1" applyBorder="1"/>
    <xf numFmtId="0" fontId="4" fillId="2" borderId="16" xfId="1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wrapText="1"/>
    </xf>
    <xf numFmtId="0" fontId="2" fillId="2" borderId="7" xfId="0" applyFont="1" applyFill="1" applyBorder="1" applyAlignment="1">
      <alignment vertical="top" wrapText="1"/>
    </xf>
    <xf numFmtId="0" fontId="2" fillId="2" borderId="12" xfId="0" applyFont="1" applyFill="1" applyBorder="1" applyAlignment="1">
      <alignment wrapText="1"/>
    </xf>
    <xf numFmtId="164" fontId="4" fillId="2" borderId="6" xfId="1" applyNumberFormat="1" applyFont="1" applyFill="1" applyBorder="1" applyAlignment="1">
      <alignment horizontal="center"/>
    </xf>
    <xf numFmtId="164" fontId="4" fillId="2" borderId="4" xfId="1" applyNumberFormat="1" applyFont="1" applyFill="1" applyBorder="1" applyAlignment="1">
      <alignment horizontal="center"/>
    </xf>
    <xf numFmtId="0" fontId="0" fillId="0" borderId="6" xfId="0" applyFill="1" applyBorder="1"/>
    <xf numFmtId="43" fontId="5" fillId="2" borderId="6" xfId="1" quotePrefix="1" applyFont="1" applyFill="1" applyBorder="1"/>
    <xf numFmtId="43" fontId="5" fillId="2" borderId="0" xfId="1" quotePrefix="1" applyFont="1" applyFill="1" applyBorder="1"/>
    <xf numFmtId="44" fontId="5" fillId="2" borderId="6" xfId="3" quotePrefix="1" applyFont="1" applyFill="1" applyBorder="1"/>
    <xf numFmtId="0" fontId="5" fillId="2" borderId="6" xfId="0" quotePrefix="1" applyFont="1" applyFill="1" applyBorder="1" applyAlignment="1">
      <alignment wrapText="1"/>
    </xf>
    <xf numFmtId="0" fontId="5" fillId="2" borderId="0" xfId="0" quotePrefix="1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5" xfId="0" applyBorder="1" applyAlignment="1">
      <alignment wrapText="1"/>
    </xf>
    <xf numFmtId="43" fontId="5" fillId="2" borderId="6" xfId="1" quotePrefix="1" applyFont="1" applyFill="1" applyBorder="1" applyAlignment="1">
      <alignment wrapText="1"/>
    </xf>
    <xf numFmtId="0" fontId="5" fillId="2" borderId="0" xfId="0" quotePrefix="1" applyFont="1" applyFill="1" applyBorder="1"/>
    <xf numFmtId="0" fontId="4" fillId="2" borderId="1" xfId="0" applyFont="1" applyFill="1" applyBorder="1" applyAlignment="1"/>
    <xf numFmtId="0" fontId="4" fillId="2" borderId="25" xfId="0" applyFont="1" applyFill="1" applyBorder="1" applyAlignment="1"/>
    <xf numFmtId="3" fontId="0" fillId="2" borderId="15" xfId="0" quotePrefix="1" applyNumberFormat="1" applyFill="1" applyBorder="1"/>
    <xf numFmtId="3" fontId="0" fillId="2" borderId="0" xfId="0" applyNumberFormat="1" applyFill="1" applyBorder="1" applyAlignment="1">
      <alignment vertical="top" wrapText="1"/>
    </xf>
    <xf numFmtId="3" fontId="0" fillId="2" borderId="13" xfId="0" quotePrefix="1" applyNumberFormat="1" applyFill="1" applyBorder="1"/>
    <xf numFmtId="2" fontId="0" fillId="2" borderId="2" xfId="0" applyNumberFormat="1" applyFill="1" applyBorder="1"/>
    <xf numFmtId="44" fontId="0" fillId="2" borderId="2" xfId="0" applyNumberFormat="1" applyFill="1" applyBorder="1"/>
    <xf numFmtId="43" fontId="5" fillId="2" borderId="0" xfId="1" applyFont="1" applyFill="1" applyBorder="1" applyAlignment="1">
      <alignment horizontal="right" vertical="top"/>
    </xf>
    <xf numFmtId="43" fontId="5" fillId="2" borderId="14" xfId="1" applyFont="1" applyFill="1" applyBorder="1" applyAlignment="1">
      <alignment wrapText="1"/>
    </xf>
    <xf numFmtId="43" fontId="5" fillId="2" borderId="7" xfId="1" applyFont="1" applyFill="1" applyBorder="1" applyAlignment="1">
      <alignment vertical="top" wrapText="1"/>
    </xf>
    <xf numFmtId="43" fontId="5" fillId="2" borderId="12" xfId="1" applyFont="1" applyFill="1" applyBorder="1"/>
    <xf numFmtId="0" fontId="5" fillId="2" borderId="7" xfId="0" applyFont="1" applyFill="1" applyBorder="1" applyAlignment="1">
      <alignment vertical="top" wrapText="1"/>
    </xf>
    <xf numFmtId="0" fontId="5" fillId="2" borderId="12" xfId="0" applyFont="1" applyFill="1" applyBorder="1" applyAlignment="1">
      <alignment wrapText="1"/>
    </xf>
    <xf numFmtId="0" fontId="5" fillId="2" borderId="12" xfId="0" applyFont="1" applyFill="1" applyBorder="1"/>
    <xf numFmtId="0" fontId="5" fillId="2" borderId="10" xfId="0" applyFont="1" applyFill="1" applyBorder="1"/>
    <xf numFmtId="0" fontId="5" fillId="2" borderId="3" xfId="0" applyFont="1" applyFill="1" applyBorder="1"/>
    <xf numFmtId="0" fontId="5" fillId="2" borderId="0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0" fontId="5" fillId="0" borderId="0" xfId="0" applyFont="1"/>
    <xf numFmtId="2" fontId="5" fillId="2" borderId="4" xfId="0" quotePrefix="1" applyNumberFormat="1" applyFont="1" applyFill="1" applyBorder="1" applyAlignment="1">
      <alignment wrapText="1"/>
    </xf>
    <xf numFmtId="0" fontId="5" fillId="2" borderId="0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10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2" fontId="5" fillId="2" borderId="2" xfId="0" quotePrefix="1" applyNumberFormat="1" applyFont="1" applyFill="1" applyBorder="1" applyAlignment="1">
      <alignment wrapText="1"/>
    </xf>
    <xf numFmtId="0" fontId="5" fillId="2" borderId="2" xfId="0" applyFont="1" applyFill="1" applyBorder="1" applyAlignment="1">
      <alignment horizontal="right" vertical="top" wrapText="1"/>
    </xf>
    <xf numFmtId="0" fontId="5" fillId="2" borderId="6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Alignment="1">
      <alignment wrapText="1"/>
    </xf>
    <xf numFmtId="164" fontId="5" fillId="2" borderId="0" xfId="1" applyNumberFormat="1" applyFont="1" applyFill="1" applyBorder="1" applyAlignment="1">
      <alignment vertical="top"/>
    </xf>
    <xf numFmtId="0" fontId="5" fillId="2" borderId="9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167" fontId="5" fillId="2" borderId="4" xfId="0" quotePrefix="1" applyNumberFormat="1" applyFont="1" applyFill="1" applyBorder="1" applyAlignment="1">
      <alignment wrapText="1"/>
    </xf>
    <xf numFmtId="168" fontId="5" fillId="2" borderId="2" xfId="0" quotePrefix="1" applyNumberFormat="1" applyFont="1" applyFill="1" applyBorder="1" applyAlignment="1">
      <alignment wrapText="1"/>
    </xf>
    <xf numFmtId="0" fontId="5" fillId="2" borderId="0" xfId="0" applyFont="1" applyFill="1" applyBorder="1"/>
    <xf numFmtId="0" fontId="5" fillId="2" borderId="9" xfId="0" applyFont="1" applyFill="1" applyBorder="1"/>
    <xf numFmtId="0" fontId="5" fillId="2" borderId="7" xfId="0" applyFont="1" applyFill="1" applyBorder="1"/>
    <xf numFmtId="0" fontId="5" fillId="2" borderId="0" xfId="0" quotePrefix="1" applyFont="1" applyFill="1" applyBorder="1" applyAlignment="1">
      <alignment horizontal="center"/>
    </xf>
    <xf numFmtId="2" fontId="5" fillId="2" borderId="4" xfId="0" quotePrefix="1" applyNumberFormat="1" applyFont="1" applyFill="1" applyBorder="1"/>
    <xf numFmtId="2" fontId="5" fillId="2" borderId="2" xfId="0" quotePrefix="1" applyNumberFormat="1" applyFont="1" applyFill="1" applyBorder="1"/>
    <xf numFmtId="0" fontId="5" fillId="2" borderId="2" xfId="0" applyFont="1" applyFill="1" applyBorder="1" applyAlignment="1">
      <alignment horizontal="right" vertical="top"/>
    </xf>
    <xf numFmtId="0" fontId="5" fillId="2" borderId="2" xfId="0" applyFont="1" applyFill="1" applyBorder="1"/>
    <xf numFmtId="44" fontId="5" fillId="2" borderId="2" xfId="3" quotePrefix="1" applyFont="1" applyFill="1" applyBorder="1"/>
    <xf numFmtId="43" fontId="2" fillId="2" borderId="7" xfId="1" applyFont="1" applyFill="1" applyBorder="1" applyAlignment="1">
      <alignment horizontal="left" vertical="top"/>
    </xf>
    <xf numFmtId="164" fontId="5" fillId="2" borderId="14" xfId="1" quotePrefix="1" applyNumberFormat="1" applyFont="1" applyFill="1" applyBorder="1"/>
    <xf numFmtId="164" fontId="5" fillId="2" borderId="7" xfId="1" applyNumberFormat="1" applyFont="1" applyFill="1" applyBorder="1" applyAlignment="1">
      <alignment vertical="top"/>
    </xf>
    <xf numFmtId="164" fontId="5" fillId="2" borderId="12" xfId="1" quotePrefix="1" applyNumberFormat="1" applyFont="1" applyFill="1" applyBorder="1"/>
    <xf numFmtId="164" fontId="5" fillId="2" borderId="15" xfId="1" quotePrefix="1" applyNumberFormat="1" applyFont="1" applyFill="1" applyBorder="1" applyAlignment="1">
      <alignment wrapText="1"/>
    </xf>
    <xf numFmtId="164" fontId="5" fillId="2" borderId="0" xfId="1" applyNumberFormat="1" applyFont="1" applyFill="1" applyBorder="1" applyAlignment="1">
      <alignment vertical="top" wrapText="1"/>
    </xf>
    <xf numFmtId="164" fontId="5" fillId="2" borderId="13" xfId="1" quotePrefix="1" applyNumberFormat="1" applyFont="1" applyFill="1" applyBorder="1" applyAlignment="1">
      <alignment wrapText="1"/>
    </xf>
    <xf numFmtId="164" fontId="5" fillId="2" borderId="14" xfId="1" quotePrefix="1" applyNumberFormat="1" applyFont="1" applyFill="1" applyBorder="1" applyAlignment="1">
      <alignment wrapText="1"/>
    </xf>
    <xf numFmtId="164" fontId="5" fillId="2" borderId="7" xfId="1" applyNumberFormat="1" applyFont="1" applyFill="1" applyBorder="1" applyAlignment="1">
      <alignment vertical="top" wrapText="1"/>
    </xf>
    <xf numFmtId="164" fontId="5" fillId="2" borderId="12" xfId="1" quotePrefix="1" applyNumberFormat="1" applyFont="1" applyFill="1" applyBorder="1" applyAlignment="1">
      <alignment wrapText="1"/>
    </xf>
    <xf numFmtId="44" fontId="5" fillId="2" borderId="4" xfId="3" quotePrefix="1" applyFont="1" applyFill="1" applyBorder="1" applyAlignment="1">
      <alignment wrapText="1"/>
    </xf>
    <xf numFmtId="164" fontId="5" fillId="2" borderId="15" xfId="1" applyNumberFormat="1" applyFont="1" applyFill="1" applyBorder="1"/>
    <xf numFmtId="3" fontId="5" fillId="2" borderId="13" xfId="0" applyNumberFormat="1" applyFont="1" applyFill="1" applyBorder="1"/>
    <xf numFmtId="3" fontId="5" fillId="2" borderId="0" xfId="0" applyNumberFormat="1" applyFont="1" applyFill="1" applyBorder="1" applyAlignment="1">
      <alignment vertical="top"/>
    </xf>
    <xf numFmtId="3" fontId="5" fillId="2" borderId="15" xfId="0" quotePrefix="1" applyNumberFormat="1" applyFont="1" applyFill="1" applyBorder="1"/>
    <xf numFmtId="3" fontId="5" fillId="2" borderId="0" xfId="0" applyNumberFormat="1" applyFont="1" applyFill="1" applyBorder="1" applyAlignment="1">
      <alignment vertical="top" wrapText="1"/>
    </xf>
    <xf numFmtId="3" fontId="5" fillId="2" borderId="13" xfId="0" quotePrefix="1" applyNumberFormat="1" applyFont="1" applyFill="1" applyBorder="1"/>
    <xf numFmtId="164" fontId="5" fillId="2" borderId="14" xfId="1" applyNumberFormat="1" applyFont="1" applyFill="1" applyBorder="1"/>
    <xf numFmtId="2" fontId="5" fillId="2" borderId="2" xfId="0" applyNumberFormat="1" applyFont="1" applyFill="1" applyBorder="1"/>
    <xf numFmtId="3" fontId="5" fillId="2" borderId="12" xfId="0" applyNumberFormat="1" applyFont="1" applyFill="1" applyBorder="1"/>
    <xf numFmtId="3" fontId="5" fillId="2" borderId="7" xfId="0" applyNumberFormat="1" applyFont="1" applyFill="1" applyBorder="1" applyAlignment="1">
      <alignment vertical="top"/>
    </xf>
    <xf numFmtId="44" fontId="5" fillId="2" borderId="2" xfId="0" applyNumberFormat="1" applyFont="1" applyFill="1" applyBorder="1"/>
    <xf numFmtId="164" fontId="2" fillId="2" borderId="14" xfId="1" quotePrefix="1" applyNumberFormat="1" applyFont="1" applyFill="1" applyBorder="1"/>
    <xf numFmtId="164" fontId="2" fillId="2" borderId="7" xfId="1" applyNumberFormat="1" applyFill="1" applyBorder="1" applyAlignment="1">
      <alignment vertical="top"/>
    </xf>
    <xf numFmtId="164" fontId="2" fillId="2" borderId="12" xfId="1" quotePrefix="1" applyNumberFormat="1" applyFont="1" applyFill="1" applyBorder="1"/>
    <xf numFmtId="164" fontId="2" fillId="2" borderId="7" xfId="1" applyNumberFormat="1" applyFill="1" applyBorder="1" applyAlignment="1">
      <alignment horizontal="right" vertical="top"/>
    </xf>
    <xf numFmtId="166" fontId="2" fillId="2" borderId="14" xfId="3" quotePrefix="1" applyNumberFormat="1" applyFont="1" applyFill="1" applyBorder="1"/>
    <xf numFmtId="0" fontId="5" fillId="0" borderId="6" xfId="0" applyFont="1" applyFill="1" applyBorder="1" applyAlignment="1">
      <alignment wrapText="1"/>
    </xf>
    <xf numFmtId="0" fontId="5" fillId="0" borderId="0" xfId="0" applyFont="1" applyFill="1" applyBorder="1" applyAlignment="1"/>
    <xf numFmtId="0" fontId="5" fillId="0" borderId="0" xfId="5"/>
    <xf numFmtId="164" fontId="0" fillId="0" borderId="0" xfId="2" applyNumberFormat="1" applyFont="1"/>
    <xf numFmtId="0" fontId="5" fillId="0" borderId="0" xfId="5" applyAlignment="1">
      <alignment wrapText="1"/>
    </xf>
    <xf numFmtId="0" fontId="5" fillId="0" borderId="0" xfId="5" applyFill="1" applyBorder="1"/>
    <xf numFmtId="0" fontId="5" fillId="0" borderId="0" xfId="5" applyFill="1" applyBorder="1" applyAlignment="1">
      <alignment wrapText="1"/>
    </xf>
    <xf numFmtId="0" fontId="5" fillId="0" borderId="0" xfId="5" applyBorder="1" applyAlignment="1">
      <alignment wrapText="1"/>
    </xf>
    <xf numFmtId="0" fontId="5" fillId="2" borderId="0" xfId="5" applyFill="1" applyBorder="1"/>
    <xf numFmtId="0" fontId="5" fillId="2" borderId="3" xfId="5" applyFill="1" applyBorder="1"/>
    <xf numFmtId="164" fontId="0" fillId="2" borderId="22" xfId="2" applyNumberFormat="1" applyFont="1" applyFill="1" applyBorder="1"/>
    <xf numFmtId="0" fontId="5" fillId="2" borderId="17" xfId="5" applyFill="1" applyBorder="1"/>
    <xf numFmtId="0" fontId="5" fillId="2" borderId="10" xfId="5" applyFill="1" applyBorder="1"/>
    <xf numFmtId="0" fontId="5" fillId="2" borderId="22" xfId="5" applyFill="1" applyBorder="1"/>
    <xf numFmtId="0" fontId="5" fillId="2" borderId="9" xfId="5" applyFill="1" applyBorder="1" applyAlignment="1">
      <alignment wrapText="1"/>
    </xf>
    <xf numFmtId="0" fontId="5" fillId="0" borderId="3" xfId="5" applyBorder="1" applyAlignment="1">
      <alignment wrapText="1"/>
    </xf>
    <xf numFmtId="0" fontId="5" fillId="2" borderId="9" xfId="5" applyFill="1" applyBorder="1"/>
    <xf numFmtId="0" fontId="5" fillId="0" borderId="0" xfId="5" applyAlignment="1">
      <alignment vertical="top"/>
    </xf>
    <xf numFmtId="0" fontId="5" fillId="2" borderId="2" xfId="5" applyFill="1" applyBorder="1" applyAlignment="1">
      <alignment vertical="top"/>
    </xf>
    <xf numFmtId="164" fontId="0" fillId="2" borderId="23" xfId="2" applyNumberFormat="1" applyFont="1" applyFill="1" applyBorder="1" applyAlignment="1">
      <alignment vertical="top"/>
    </xf>
    <xf numFmtId="0" fontId="5" fillId="2" borderId="18" xfId="5" applyFill="1" applyBorder="1" applyAlignment="1">
      <alignment vertical="top"/>
    </xf>
    <xf numFmtId="0" fontId="5" fillId="2" borderId="0" xfId="5" applyFill="1" applyBorder="1" applyAlignment="1">
      <alignment vertical="top"/>
    </xf>
    <xf numFmtId="0" fontId="5" fillId="2" borderId="7" xfId="5" applyFill="1" applyBorder="1" applyAlignment="1">
      <alignment vertical="top" wrapText="1"/>
    </xf>
    <xf numFmtId="0" fontId="5" fillId="0" borderId="2" xfId="5" applyBorder="1" applyAlignment="1">
      <alignment vertical="top" wrapText="1"/>
    </xf>
    <xf numFmtId="0" fontId="5" fillId="2" borderId="7" xfId="5" applyFill="1" applyBorder="1" applyAlignment="1">
      <alignment vertical="top"/>
    </xf>
    <xf numFmtId="44" fontId="0" fillId="2" borderId="4" xfId="4" applyFont="1" applyFill="1" applyBorder="1"/>
    <xf numFmtId="164" fontId="0" fillId="2" borderId="20" xfId="2" applyNumberFormat="1" applyFont="1" applyFill="1" applyBorder="1"/>
    <xf numFmtId="44" fontId="0" fillId="2" borderId="21" xfId="4" applyFont="1" applyFill="1" applyBorder="1"/>
    <xf numFmtId="0" fontId="5" fillId="2" borderId="6" xfId="5" quotePrefix="1" applyFill="1" applyBorder="1"/>
    <xf numFmtId="44" fontId="0" fillId="2" borderId="21" xfId="4" quotePrefix="1" applyFont="1" applyFill="1" applyBorder="1"/>
    <xf numFmtId="0" fontId="5" fillId="2" borderId="14" xfId="5" applyFill="1" applyBorder="1" applyAlignment="1">
      <alignment wrapText="1"/>
    </xf>
    <xf numFmtId="0" fontId="5" fillId="0" borderId="4" xfId="5" applyBorder="1" applyAlignment="1">
      <alignment wrapText="1"/>
    </xf>
    <xf numFmtId="0" fontId="5" fillId="2" borderId="11" xfId="5" applyFill="1" applyBorder="1"/>
    <xf numFmtId="0" fontId="5" fillId="2" borderId="5" xfId="5" applyFill="1" applyBorder="1"/>
    <xf numFmtId="43" fontId="0" fillId="2" borderId="2" xfId="2" applyFont="1" applyFill="1" applyBorder="1"/>
    <xf numFmtId="164" fontId="0" fillId="2" borderId="24" xfId="2" applyNumberFormat="1" applyFont="1" applyFill="1" applyBorder="1"/>
    <xf numFmtId="43" fontId="0" fillId="2" borderId="18" xfId="2" applyFont="1" applyFill="1" applyBorder="1"/>
    <xf numFmtId="0" fontId="5" fillId="2" borderId="0" xfId="5" quotePrefix="1" applyFill="1" applyBorder="1"/>
    <xf numFmtId="2" fontId="5" fillId="2" borderId="18" xfId="5" quotePrefix="1" applyNumberFormat="1" applyFill="1" applyBorder="1"/>
    <xf numFmtId="0" fontId="5" fillId="2" borderId="12" xfId="5" applyFill="1" applyBorder="1" applyAlignment="1">
      <alignment wrapText="1"/>
    </xf>
    <xf numFmtId="0" fontId="5" fillId="0" borderId="2" xfId="5" applyBorder="1" applyAlignment="1">
      <alignment wrapText="1"/>
    </xf>
    <xf numFmtId="0" fontId="5" fillId="2" borderId="8" xfId="5" applyFill="1" applyBorder="1"/>
    <xf numFmtId="0" fontId="5" fillId="2" borderId="7" xfId="5" applyFill="1" applyBorder="1"/>
    <xf numFmtId="0" fontId="5" fillId="2" borderId="4" xfId="5" applyFill="1" applyBorder="1"/>
    <xf numFmtId="164" fontId="0" fillId="2" borderId="27" xfId="2" applyNumberFormat="1" applyFont="1" applyFill="1" applyBorder="1"/>
    <xf numFmtId="0" fontId="5" fillId="2" borderId="21" xfId="5" applyFill="1" applyBorder="1"/>
    <xf numFmtId="0" fontId="5" fillId="2" borderId="6" xfId="5" applyFill="1" applyBorder="1"/>
    <xf numFmtId="0" fontId="5" fillId="2" borderId="27" xfId="5" applyFill="1" applyBorder="1"/>
    <xf numFmtId="0" fontId="5" fillId="2" borderId="5" xfId="5" applyFill="1" applyBorder="1" applyAlignment="1">
      <alignment wrapText="1"/>
    </xf>
    <xf numFmtId="0" fontId="5" fillId="2" borderId="2" xfId="5" applyFill="1" applyBorder="1" applyAlignment="1">
      <alignment horizontal="right" vertical="top"/>
    </xf>
    <xf numFmtId="0" fontId="5" fillId="2" borderId="18" xfId="5" applyFill="1" applyBorder="1" applyAlignment="1">
      <alignment horizontal="right" vertical="top"/>
    </xf>
    <xf numFmtId="43" fontId="5" fillId="2" borderId="4" xfId="5" applyNumberFormat="1" applyFill="1" applyBorder="1"/>
    <xf numFmtId="43" fontId="0" fillId="2" borderId="21" xfId="2" applyFont="1" applyFill="1" applyBorder="1"/>
    <xf numFmtId="2" fontId="5" fillId="2" borderId="21" xfId="5" quotePrefix="1" applyNumberFormat="1" applyFill="1" applyBorder="1"/>
    <xf numFmtId="43" fontId="0" fillId="2" borderId="4" xfId="2" applyFont="1" applyFill="1" applyBorder="1"/>
    <xf numFmtId="0" fontId="4" fillId="0" borderId="0" xfId="5" applyFont="1"/>
    <xf numFmtId="0" fontId="4" fillId="2" borderId="1" xfId="5" applyFont="1" applyFill="1" applyBorder="1"/>
    <xf numFmtId="0" fontId="4" fillId="2" borderId="16" xfId="5" applyFont="1" applyFill="1" applyBorder="1" applyAlignment="1">
      <alignment wrapText="1"/>
    </xf>
    <xf numFmtId="0" fontId="4" fillId="2" borderId="3" xfId="5" applyFont="1" applyFill="1" applyBorder="1"/>
    <xf numFmtId="0" fontId="4" fillId="2" borderId="10" xfId="5" applyFont="1" applyFill="1" applyBorder="1"/>
    <xf numFmtId="0" fontId="4" fillId="2" borderId="9" xfId="5" applyFont="1" applyFill="1" applyBorder="1"/>
    <xf numFmtId="0" fontId="4" fillId="2" borderId="1" xfId="5" applyFont="1" applyFill="1" applyBorder="1" applyAlignment="1"/>
    <xf numFmtId="0" fontId="4" fillId="2" borderId="25" xfId="5" applyFont="1" applyFill="1" applyBorder="1" applyAlignment="1"/>
    <xf numFmtId="0" fontId="0" fillId="3" borderId="0" xfId="0" applyFill="1" applyBorder="1"/>
    <xf numFmtId="0" fontId="4" fillId="2" borderId="28" xfId="0" applyFont="1" applyFill="1" applyBorder="1" applyAlignment="1">
      <alignment wrapText="1"/>
    </xf>
    <xf numFmtId="0" fontId="4" fillId="2" borderId="29" xfId="0" applyFont="1" applyFill="1" applyBorder="1" applyAlignment="1">
      <alignment wrapText="1"/>
    </xf>
    <xf numFmtId="0" fontId="5" fillId="2" borderId="0" xfId="5" applyFill="1" applyBorder="1" applyAlignment="1">
      <alignment wrapText="1"/>
    </xf>
    <xf numFmtId="164" fontId="0" fillId="2" borderId="0" xfId="2" applyNumberFormat="1" applyFont="1" applyFill="1" applyBorder="1"/>
    <xf numFmtId="0" fontId="5" fillId="3" borderId="6" xfId="5" applyFill="1" applyBorder="1"/>
    <xf numFmtId="0" fontId="5" fillId="3" borderId="4" xfId="5" applyFill="1" applyBorder="1"/>
    <xf numFmtId="0" fontId="5" fillId="3" borderId="4" xfId="5" applyFill="1" applyBorder="1" applyAlignment="1">
      <alignment wrapText="1"/>
    </xf>
    <xf numFmtId="0" fontId="5" fillId="3" borderId="5" xfId="5" applyFill="1" applyBorder="1" applyAlignment="1">
      <alignment wrapText="1"/>
    </xf>
    <xf numFmtId="0" fontId="5" fillId="3" borderId="27" xfId="5" applyFill="1" applyBorder="1"/>
    <xf numFmtId="0" fontId="5" fillId="3" borderId="21" xfId="5" applyFill="1" applyBorder="1"/>
    <xf numFmtId="0" fontId="4" fillId="2" borderId="1" xfId="1" applyNumberFormat="1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43" fontId="0" fillId="2" borderId="0" xfId="1" applyFont="1" applyFill="1" applyBorder="1" applyAlignment="1">
      <alignment vertical="top"/>
    </xf>
    <xf numFmtId="43" fontId="0" fillId="2" borderId="14" xfId="1" applyFont="1" applyFill="1" applyBorder="1"/>
    <xf numFmtId="43" fontId="0" fillId="2" borderId="7" xfId="1" applyFont="1" applyFill="1" applyBorder="1" applyAlignment="1">
      <alignment vertical="top" wrapText="1"/>
    </xf>
    <xf numFmtId="43" fontId="0" fillId="2" borderId="7" xfId="1" applyFont="1" applyFill="1" applyBorder="1" applyAlignment="1">
      <alignment vertical="top"/>
    </xf>
    <xf numFmtId="0" fontId="0" fillId="0" borderId="6" xfId="0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0" fillId="0" borderId="0" xfId="0" applyAlignment="1">
      <alignment shrinkToFit="1"/>
    </xf>
    <xf numFmtId="0" fontId="4" fillId="0" borderId="0" xfId="0" applyFont="1" applyFill="1"/>
    <xf numFmtId="0" fontId="0" fillId="0" borderId="0" xfId="0" applyFill="1" applyAlignment="1">
      <alignment vertical="top"/>
    </xf>
    <xf numFmtId="0" fontId="0" fillId="0" borderId="0" xfId="0" applyFill="1" applyAlignment="1">
      <alignment wrapText="1"/>
    </xf>
    <xf numFmtId="0" fontId="5" fillId="0" borderId="0" xfId="0" applyFont="1" applyFill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8" fillId="0" borderId="5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165" fontId="8" fillId="4" borderId="16" xfId="1" applyNumberFormat="1" applyFont="1" applyFill="1" applyBorder="1" applyAlignment="1" applyProtection="1">
      <protection locked="0"/>
    </xf>
    <xf numFmtId="165" fontId="8" fillId="0" borderId="1" xfId="1" applyNumberFormat="1" applyFont="1" applyFill="1" applyBorder="1" applyAlignment="1"/>
    <xf numFmtId="0" fontId="8" fillId="0" borderId="25" xfId="1" applyNumberFormat="1" applyFont="1" applyFill="1" applyBorder="1" applyAlignment="1">
      <alignment horizontal="center"/>
    </xf>
    <xf numFmtId="0" fontId="9" fillId="0" borderId="5" xfId="0" applyFont="1" applyFill="1" applyBorder="1" applyAlignment="1">
      <alignment wrapText="1"/>
    </xf>
    <xf numFmtId="0" fontId="9" fillId="0" borderId="6" xfId="0" quotePrefix="1" applyFont="1" applyFill="1" applyBorder="1" applyAlignment="1">
      <alignment wrapText="1"/>
    </xf>
    <xf numFmtId="0" fontId="9" fillId="0" borderId="11" xfId="0" applyFont="1" applyFill="1" applyBorder="1" applyAlignment="1">
      <alignment wrapText="1"/>
    </xf>
    <xf numFmtId="0" fontId="9" fillId="0" borderId="4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12" fillId="0" borderId="2" xfId="0" applyFont="1" applyFill="1" applyBorder="1" applyAlignment="1">
      <alignment vertical="top" wrapText="1"/>
    </xf>
    <xf numFmtId="0" fontId="10" fillId="4" borderId="0" xfId="0" applyFont="1" applyFill="1" applyBorder="1" applyAlignment="1" applyProtection="1">
      <alignment vertical="top" wrapText="1"/>
      <protection locked="0"/>
    </xf>
    <xf numFmtId="0" fontId="9" fillId="0" borderId="9" xfId="0" applyFont="1" applyFill="1" applyBorder="1" applyAlignment="1">
      <alignment wrapText="1"/>
    </xf>
    <xf numFmtId="0" fontId="9" fillId="0" borderId="10" xfId="0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0" fontId="9" fillId="0" borderId="3" xfId="0" applyFont="1" applyFill="1" applyBorder="1" applyAlignment="1">
      <alignment vertical="top" wrapText="1"/>
    </xf>
    <xf numFmtId="0" fontId="13" fillId="0" borderId="10" xfId="0" applyFont="1" applyFill="1" applyBorder="1" applyAlignment="1" applyProtection="1">
      <alignment wrapText="1"/>
      <protection locked="0"/>
    </xf>
    <xf numFmtId="0" fontId="13" fillId="4" borderId="0" xfId="0" applyFont="1" applyFill="1" applyBorder="1" applyAlignment="1" applyProtection="1">
      <alignment vertical="top" wrapText="1"/>
      <protection locked="0"/>
    </xf>
    <xf numFmtId="0" fontId="13" fillId="0" borderId="6" xfId="0" applyFont="1" applyFill="1" applyBorder="1" applyAlignment="1" applyProtection="1">
      <alignment wrapText="1"/>
      <protection locked="0"/>
    </xf>
    <xf numFmtId="0" fontId="9" fillId="0" borderId="0" xfId="0" quotePrefix="1" applyFont="1" applyFill="1" applyBorder="1" applyAlignment="1">
      <alignment wrapText="1"/>
    </xf>
    <xf numFmtId="0" fontId="9" fillId="0" borderId="8" xfId="0" applyFont="1" applyFill="1" applyBorder="1" applyAlignment="1">
      <alignment wrapText="1"/>
    </xf>
    <xf numFmtId="0" fontId="13" fillId="4" borderId="0" xfId="0" applyFont="1" applyFill="1" applyBorder="1" applyAlignment="1" applyProtection="1">
      <alignment wrapText="1"/>
      <protection locked="0"/>
    </xf>
    <xf numFmtId="0" fontId="9" fillId="0" borderId="6" xfId="0" applyFont="1" applyFill="1" applyBorder="1"/>
    <xf numFmtId="0" fontId="9" fillId="0" borderId="4" xfId="0" applyFont="1" applyFill="1" applyBorder="1"/>
    <xf numFmtId="0" fontId="8" fillId="0" borderId="10" xfId="0" applyFont="1" applyFill="1" applyBorder="1"/>
    <xf numFmtId="0" fontId="8" fillId="0" borderId="3" xfId="0" applyFont="1" applyFill="1" applyBorder="1"/>
    <xf numFmtId="0" fontId="9" fillId="0" borderId="6" xfId="0" quotePrefix="1" applyFont="1" applyFill="1" applyBorder="1"/>
    <xf numFmtId="0" fontId="9" fillId="0" borderId="0" xfId="0" applyFont="1" applyFill="1" applyBorder="1" applyAlignment="1">
      <alignment vertical="top"/>
    </xf>
    <xf numFmtId="0" fontId="9" fillId="0" borderId="10" xfId="0" applyFont="1" applyFill="1" applyBorder="1"/>
    <xf numFmtId="0" fontId="9" fillId="0" borderId="0" xfId="0" quotePrefix="1" applyFont="1" applyFill="1" applyBorder="1"/>
    <xf numFmtId="0" fontId="9" fillId="0" borderId="3" xfId="0" applyFont="1" applyFill="1" applyBorder="1"/>
    <xf numFmtId="0" fontId="9" fillId="4" borderId="5" xfId="0" applyFont="1" applyFill="1" applyBorder="1" applyAlignment="1">
      <alignment wrapText="1"/>
    </xf>
    <xf numFmtId="0" fontId="9" fillId="4" borderId="7" xfId="0" applyFont="1" applyFill="1" applyBorder="1" applyAlignment="1">
      <alignment vertical="top" wrapText="1"/>
    </xf>
    <xf numFmtId="0" fontId="9" fillId="4" borderId="7" xfId="0" applyFont="1" applyFill="1" applyBorder="1" applyAlignment="1">
      <alignment wrapText="1"/>
    </xf>
    <xf numFmtId="0" fontId="9" fillId="0" borderId="5" xfId="0" applyFont="1" applyFill="1" applyBorder="1"/>
    <xf numFmtId="0" fontId="9" fillId="0" borderId="0" xfId="0" applyFont="1" applyFill="1"/>
    <xf numFmtId="0" fontId="8" fillId="0" borderId="9" xfId="0" applyFont="1" applyFill="1" applyBorder="1"/>
    <xf numFmtId="164" fontId="8" fillId="0" borderId="16" xfId="1" applyNumberFormat="1" applyFont="1" applyFill="1" applyBorder="1" applyAlignment="1"/>
    <xf numFmtId="164" fontId="8" fillId="0" borderId="1" xfId="1" applyNumberFormat="1" applyFont="1" applyFill="1" applyBorder="1" applyAlignment="1"/>
    <xf numFmtId="0" fontId="8" fillId="0" borderId="0" xfId="0" applyFont="1" applyFill="1"/>
    <xf numFmtId="2" fontId="9" fillId="0" borderId="2" xfId="0" quotePrefix="1" applyNumberFormat="1" applyFont="1" applyFill="1" applyBorder="1" applyAlignment="1">
      <alignment wrapText="1"/>
    </xf>
    <xf numFmtId="0" fontId="9" fillId="0" borderId="0" xfId="0" applyFont="1" applyFill="1" applyAlignment="1">
      <alignment vertical="top"/>
    </xf>
    <xf numFmtId="0" fontId="9" fillId="0" borderId="9" xfId="0" applyFont="1" applyFill="1" applyBorder="1" applyAlignment="1" applyProtection="1">
      <alignment wrapText="1"/>
      <protection locked="0"/>
    </xf>
    <xf numFmtId="0" fontId="9" fillId="0" borderId="2" xfId="0" applyFont="1" applyFill="1" applyBorder="1" applyAlignment="1">
      <alignment horizontal="right" vertical="top" wrapText="1"/>
    </xf>
    <xf numFmtId="0" fontId="9" fillId="0" borderId="5" xfId="0" applyFont="1" applyFill="1" applyBorder="1" applyAlignment="1" applyProtection="1">
      <alignment wrapText="1"/>
      <protection locked="0"/>
    </xf>
    <xf numFmtId="9" fontId="9" fillId="0" borderId="2" xfId="6" quotePrefix="1" applyFont="1" applyFill="1" applyBorder="1" applyAlignment="1">
      <alignment wrapText="1"/>
    </xf>
    <xf numFmtId="0" fontId="9" fillId="0" borderId="9" xfId="0" applyFont="1" applyFill="1" applyBorder="1"/>
    <xf numFmtId="0" fontId="9" fillId="0" borderId="0" xfId="0" applyFont="1" applyFill="1" applyAlignment="1">
      <alignment wrapText="1"/>
    </xf>
    <xf numFmtId="0" fontId="10" fillId="4" borderId="0" xfId="0" applyFont="1" applyFill="1" applyBorder="1" applyAlignment="1" applyProtection="1">
      <alignment wrapText="1"/>
      <protection locked="0"/>
    </xf>
    <xf numFmtId="0" fontId="9" fillId="4" borderId="12" xfId="0" applyFont="1" applyFill="1" applyBorder="1" applyAlignment="1" applyProtection="1">
      <alignment wrapText="1"/>
      <protection locked="0"/>
    </xf>
    <xf numFmtId="0" fontId="9" fillId="4" borderId="7" xfId="0" applyFont="1" applyFill="1" applyBorder="1" applyAlignment="1" applyProtection="1">
      <alignment vertical="top" wrapText="1"/>
      <protection locked="0"/>
    </xf>
    <xf numFmtId="0" fontId="9" fillId="4" borderId="14" xfId="0" applyFont="1" applyFill="1" applyBorder="1" applyAlignment="1" applyProtection="1">
      <alignment wrapText="1"/>
      <protection locked="0"/>
    </xf>
    <xf numFmtId="164" fontId="9" fillId="4" borderId="14" xfId="1" quotePrefix="1" applyNumberFormat="1" applyFont="1" applyFill="1" applyBorder="1" applyAlignment="1" applyProtection="1">
      <alignment wrapText="1"/>
      <protection locked="0"/>
    </xf>
    <xf numFmtId="164" fontId="9" fillId="4" borderId="7" xfId="1" applyNumberFormat="1" applyFont="1" applyFill="1" applyBorder="1" applyAlignment="1" applyProtection="1">
      <alignment vertical="top" wrapText="1"/>
      <protection locked="0"/>
    </xf>
    <xf numFmtId="164" fontId="9" fillId="4" borderId="12" xfId="1" quotePrefix="1" applyNumberFormat="1" applyFont="1" applyFill="1" applyBorder="1" applyAlignment="1" applyProtection="1">
      <alignment wrapText="1"/>
      <protection locked="0"/>
    </xf>
    <xf numFmtId="0" fontId="8" fillId="0" borderId="7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wrapText="1"/>
    </xf>
    <xf numFmtId="0" fontId="8" fillId="0" borderId="6" xfId="0" applyFont="1" applyFill="1" applyBorder="1" applyAlignment="1">
      <alignment wrapText="1"/>
    </xf>
    <xf numFmtId="165" fontId="8" fillId="0" borderId="1" xfId="0" applyNumberFormat="1" applyFont="1" applyFill="1" applyBorder="1" applyAlignment="1">
      <alignment wrapText="1"/>
    </xf>
    <xf numFmtId="0" fontId="8" fillId="0" borderId="25" xfId="0" applyNumberFormat="1" applyFont="1" applyFill="1" applyBorder="1" applyAlignment="1">
      <alignment horizontal="center"/>
    </xf>
    <xf numFmtId="165" fontId="8" fillId="4" borderId="16" xfId="0" applyNumberFormat="1" applyFont="1" applyFill="1" applyBorder="1" applyAlignment="1" applyProtection="1">
      <alignment wrapText="1"/>
      <protection locked="0"/>
    </xf>
    <xf numFmtId="0" fontId="14" fillId="0" borderId="2" xfId="0" applyFont="1" applyFill="1" applyBorder="1" applyAlignment="1">
      <alignment vertical="top" wrapText="1"/>
    </xf>
    <xf numFmtId="0" fontId="14" fillId="0" borderId="4" xfId="0" applyFont="1" applyFill="1" applyBorder="1" applyAlignment="1">
      <alignment vertical="top" wrapText="1"/>
    </xf>
    <xf numFmtId="0" fontId="14" fillId="0" borderId="3" xfId="0" applyFont="1" applyFill="1" applyBorder="1" applyAlignment="1">
      <alignment vertical="top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wrapText="1"/>
    </xf>
    <xf numFmtId="0" fontId="8" fillId="0" borderId="19" xfId="1" applyNumberFormat="1" applyFont="1" applyFill="1" applyBorder="1" applyAlignment="1">
      <alignment horizontal="center"/>
    </xf>
    <xf numFmtId="2" fontId="9" fillId="0" borderId="18" xfId="0" quotePrefix="1" applyNumberFormat="1" applyFont="1" applyFill="1" applyBorder="1" applyAlignment="1">
      <alignment wrapText="1"/>
    </xf>
    <xf numFmtId="0" fontId="9" fillId="0" borderId="0" xfId="0" applyFont="1" applyFill="1" applyAlignment="1">
      <alignment horizontal="left"/>
    </xf>
    <xf numFmtId="0" fontId="15" fillId="0" borderId="0" xfId="0" applyFont="1" applyFill="1" applyAlignment="1"/>
    <xf numFmtId="0" fontId="8" fillId="0" borderId="28" xfId="0" applyFont="1" applyFill="1" applyBorder="1" applyAlignment="1">
      <alignment horizontal="center" wrapText="1"/>
    </xf>
    <xf numFmtId="0" fontId="8" fillId="0" borderId="29" xfId="0" applyFont="1" applyFill="1" applyBorder="1" applyAlignment="1">
      <alignment horizontal="center" wrapText="1"/>
    </xf>
    <xf numFmtId="164" fontId="11" fillId="3" borderId="16" xfId="1" applyNumberFormat="1" applyFont="1" applyFill="1" applyBorder="1" applyAlignment="1" applyProtection="1">
      <alignment horizontal="center" wrapText="1"/>
      <protection locked="0"/>
    </xf>
    <xf numFmtId="164" fontId="11" fillId="3" borderId="1" xfId="1" applyNumberFormat="1" applyFont="1" applyFill="1" applyBorder="1" applyAlignment="1" applyProtection="1">
      <alignment horizontal="center" wrapText="1"/>
      <protection locked="0"/>
    </xf>
    <xf numFmtId="164" fontId="11" fillId="3" borderId="19" xfId="1" applyNumberFormat="1" applyFont="1" applyFill="1" applyBorder="1" applyAlignment="1" applyProtection="1">
      <alignment horizontal="center" wrapText="1"/>
      <protection locked="0"/>
    </xf>
    <xf numFmtId="164" fontId="4" fillId="2" borderId="16" xfId="1" applyNumberFormat="1" applyFont="1" applyFill="1" applyBorder="1" applyAlignment="1">
      <alignment horizontal="center" wrapText="1"/>
    </xf>
    <xf numFmtId="164" fontId="4" fillId="2" borderId="1" xfId="1" applyNumberFormat="1" applyFont="1" applyFill="1" applyBorder="1" applyAlignment="1">
      <alignment horizontal="center" wrapText="1"/>
    </xf>
    <xf numFmtId="164" fontId="4" fillId="2" borderId="25" xfId="1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4" fillId="2" borderId="28" xfId="0" applyFont="1" applyFill="1" applyBorder="1" applyAlignment="1">
      <alignment horizontal="center" wrapText="1"/>
    </xf>
    <xf numFmtId="0" fontId="4" fillId="2" borderId="29" xfId="0" applyFont="1" applyFill="1" applyBorder="1" applyAlignment="1">
      <alignment horizontal="center" wrapText="1"/>
    </xf>
    <xf numFmtId="0" fontId="4" fillId="2" borderId="1" xfId="1" quotePrefix="1" applyNumberFormat="1" applyFont="1" applyFill="1" applyBorder="1" applyAlignment="1">
      <alignment horizontal="center"/>
    </xf>
    <xf numFmtId="0" fontId="4" fillId="2" borderId="1" xfId="1" applyNumberFormat="1" applyFont="1" applyFill="1" applyBorder="1" applyAlignment="1">
      <alignment horizontal="center"/>
    </xf>
    <xf numFmtId="0" fontId="4" fillId="2" borderId="25" xfId="1" applyNumberFormat="1" applyFont="1" applyFill="1" applyBorder="1" applyAlignment="1">
      <alignment horizontal="center"/>
    </xf>
    <xf numFmtId="15" fontId="4" fillId="2" borderId="1" xfId="1" quotePrefix="1" applyNumberFormat="1" applyFont="1" applyFill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65" fontId="4" fillId="2" borderId="25" xfId="1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wrapText="1"/>
    </xf>
    <xf numFmtId="0" fontId="0" fillId="0" borderId="6" xfId="0" applyBorder="1" applyAlignment="1">
      <alignment wrapText="1"/>
    </xf>
    <xf numFmtId="165" fontId="4" fillId="2" borderId="16" xfId="1" applyNumberFormat="1" applyFont="1" applyFill="1" applyBorder="1" applyAlignment="1">
      <alignment horizontal="center"/>
    </xf>
    <xf numFmtId="165" fontId="4" fillId="2" borderId="16" xfId="0" quotePrefix="1" applyNumberFormat="1" applyFont="1" applyFill="1" applyBorder="1" applyAlignment="1">
      <alignment horizontal="center"/>
    </xf>
    <xf numFmtId="165" fontId="4" fillId="2" borderId="1" xfId="0" quotePrefix="1" applyNumberFormat="1" applyFont="1" applyFill="1" applyBorder="1" applyAlignment="1">
      <alignment horizontal="center"/>
    </xf>
    <xf numFmtId="165" fontId="4" fillId="2" borderId="25" xfId="0" quotePrefix="1" applyNumberFormat="1" applyFont="1" applyFill="1" applyBorder="1" applyAlignment="1">
      <alignment horizontal="center"/>
    </xf>
    <xf numFmtId="165" fontId="4" fillId="2" borderId="16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165" fontId="4" fillId="2" borderId="25" xfId="0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left"/>
    </xf>
    <xf numFmtId="164" fontId="4" fillId="2" borderId="16" xfId="1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0" fontId="5" fillId="2" borderId="0" xfId="5" applyFill="1" applyBorder="1" applyAlignment="1">
      <alignment horizontal="left" vertical="top" wrapText="1"/>
    </xf>
    <xf numFmtId="0" fontId="4" fillId="2" borderId="26" xfId="5" quotePrefix="1" applyFont="1" applyFill="1" applyBorder="1" applyAlignment="1">
      <alignment horizontal="center"/>
    </xf>
    <xf numFmtId="0" fontId="4" fillId="2" borderId="25" xfId="5" quotePrefix="1" applyFont="1" applyFill="1" applyBorder="1" applyAlignment="1">
      <alignment horizontal="center"/>
    </xf>
    <xf numFmtId="0" fontId="4" fillId="2" borderId="28" xfId="5" applyFont="1" applyFill="1" applyBorder="1" applyAlignment="1">
      <alignment horizontal="center" wrapText="1"/>
    </xf>
    <xf numFmtId="0" fontId="4" fillId="2" borderId="29" xfId="5" applyFont="1" applyFill="1" applyBorder="1" applyAlignment="1">
      <alignment horizontal="center" wrapText="1"/>
    </xf>
    <xf numFmtId="165" fontId="4" fillId="2" borderId="26" xfId="5" applyNumberFormat="1" applyFont="1" applyFill="1" applyBorder="1" applyAlignment="1">
      <alignment horizontal="center"/>
    </xf>
    <xf numFmtId="165" fontId="4" fillId="2" borderId="1" xfId="5" applyNumberFormat="1" applyFont="1" applyFill="1" applyBorder="1" applyAlignment="1">
      <alignment horizontal="center"/>
    </xf>
    <xf numFmtId="165" fontId="4" fillId="2" borderId="19" xfId="5" applyNumberFormat="1" applyFont="1" applyFill="1" applyBorder="1" applyAlignment="1">
      <alignment horizontal="center"/>
    </xf>
    <xf numFmtId="0" fontId="4" fillId="2" borderId="1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0" fillId="0" borderId="6" xfId="0" applyFill="1" applyBorder="1" applyAlignment="1">
      <alignment wrapText="1"/>
    </xf>
    <xf numFmtId="0" fontId="11" fillId="4" borderId="16" xfId="0" applyFont="1" applyFill="1" applyBorder="1" applyAlignment="1" applyProtection="1">
      <alignment horizontal="center" wrapText="1"/>
      <protection locked="0"/>
    </xf>
    <xf numFmtId="0" fontId="11" fillId="4" borderId="1" xfId="0" applyFont="1" applyFill="1" applyBorder="1" applyAlignment="1" applyProtection="1">
      <alignment horizontal="center" wrapText="1"/>
      <protection locked="0"/>
    </xf>
  </cellXfs>
  <cellStyles count="12">
    <cellStyle name="Comma" xfId="1" builtinId="3"/>
    <cellStyle name="Comma 2" xfId="2" xr:uid="{00000000-0005-0000-0000-000001000000}"/>
    <cellStyle name="Comma 3" xfId="9" xr:uid="{00000000-0005-0000-0000-000002000000}"/>
    <cellStyle name="Currency" xfId="3" builtinId="4"/>
    <cellStyle name="Currency 2" xfId="4" xr:uid="{00000000-0005-0000-0000-000004000000}"/>
    <cellStyle name="Currency 3" xfId="10" xr:uid="{00000000-0005-0000-0000-000005000000}"/>
    <cellStyle name="Normal" xfId="0" builtinId="0"/>
    <cellStyle name="Normal 2" xfId="5" xr:uid="{00000000-0005-0000-0000-000007000000}"/>
    <cellStyle name="Normal 3" xfId="8" xr:uid="{00000000-0005-0000-0000-000008000000}"/>
    <cellStyle name="Normal 4" xfId="7" xr:uid="{00000000-0005-0000-0000-000009000000}"/>
    <cellStyle name="Percent" xfId="6" builtinId="5"/>
    <cellStyle name="Percent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9"/>
  <sheetViews>
    <sheetView tabSelected="1" view="pageLayout" topLeftCell="A6" zoomScale="90" zoomScaleNormal="80" zoomScalePageLayoutView="90" workbookViewId="0">
      <selection activeCell="D1" sqref="D1:D2"/>
    </sheetView>
  </sheetViews>
  <sheetFormatPr defaultColWidth="8.81640625" defaultRowHeight="12.5" x14ac:dyDescent="0.25"/>
  <cols>
    <col min="1" max="1" width="20" style="74" customWidth="1"/>
    <col min="2" max="2" width="3.54296875" style="74" customWidth="1"/>
    <col min="3" max="3" width="18.54296875" style="74" bestFit="1" customWidth="1"/>
    <col min="4" max="4" width="53.1796875" style="74" customWidth="1"/>
    <col min="5" max="5" width="25" style="74" customWidth="1"/>
    <col min="6" max="6" width="20.81640625" style="266" bestFit="1" customWidth="1"/>
    <col min="7" max="7" width="2.54296875" style="266" bestFit="1" customWidth="1"/>
    <col min="8" max="8" width="16.26953125" style="338" bestFit="1" customWidth="1"/>
    <col min="9" max="9" width="2.7265625" style="338" customWidth="1"/>
    <col min="10" max="10" width="8.453125" style="338" bestFit="1" customWidth="1"/>
    <col min="11" max="11" width="16.26953125" style="266" bestFit="1" customWidth="1"/>
    <col min="12" max="12" width="2.54296875" style="266" bestFit="1" customWidth="1"/>
    <col min="13" max="13" width="7.26953125" style="266" bestFit="1" customWidth="1"/>
    <col min="14" max="14" width="16.26953125" style="266" bestFit="1" customWidth="1"/>
    <col min="15" max="15" width="1.26953125" style="266" bestFit="1" customWidth="1"/>
    <col min="16" max="16" width="10.1796875" style="266" bestFit="1" customWidth="1"/>
    <col min="17" max="16384" width="8.81640625" style="74"/>
  </cols>
  <sheetData>
    <row r="1" spans="1:19" ht="20.5" thickBot="1" x14ac:dyDescent="0.45">
      <c r="A1" s="307"/>
      <c r="B1" s="295"/>
      <c r="C1" s="296"/>
      <c r="D1" s="343" t="s">
        <v>25</v>
      </c>
      <c r="E1" s="272" t="s">
        <v>103</v>
      </c>
      <c r="F1" s="345" t="s">
        <v>123</v>
      </c>
      <c r="G1" s="346"/>
      <c r="H1" s="346"/>
      <c r="I1" s="346"/>
      <c r="J1" s="346"/>
      <c r="K1" s="346"/>
      <c r="L1" s="346"/>
      <c r="M1" s="346"/>
      <c r="N1" s="346"/>
      <c r="O1" s="346"/>
      <c r="P1" s="347"/>
      <c r="Q1" s="308"/>
      <c r="R1" s="308"/>
      <c r="S1" s="308"/>
    </row>
    <row r="2" spans="1:19" s="264" customFormat="1" ht="16" thickBot="1" x14ac:dyDescent="0.4">
      <c r="A2" s="309" t="s">
        <v>0</v>
      </c>
      <c r="B2" s="297"/>
      <c r="C2" s="298" t="s">
        <v>31</v>
      </c>
      <c r="D2" s="344"/>
      <c r="E2" s="273" t="s">
        <v>104</v>
      </c>
      <c r="F2" s="310" t="s">
        <v>106</v>
      </c>
      <c r="G2" s="311"/>
      <c r="H2" s="274">
        <v>44377</v>
      </c>
      <c r="I2" s="275"/>
      <c r="J2" s="276">
        <f>YEAR(H2)</f>
        <v>2021</v>
      </c>
      <c r="K2" s="274">
        <v>44742</v>
      </c>
      <c r="L2" s="275"/>
      <c r="M2" s="276">
        <f>YEAR(K2)</f>
        <v>2022</v>
      </c>
      <c r="N2" s="274" t="s">
        <v>128</v>
      </c>
      <c r="O2" s="275"/>
      <c r="P2" s="339">
        <v>2023</v>
      </c>
      <c r="Q2" s="312"/>
      <c r="R2" s="312"/>
      <c r="S2" s="312"/>
    </row>
    <row r="3" spans="1:19" ht="110.25" customHeight="1" x14ac:dyDescent="0.35">
      <c r="A3" s="304" t="s">
        <v>15</v>
      </c>
      <c r="B3" s="299" t="s">
        <v>4</v>
      </c>
      <c r="C3" s="279" t="s">
        <v>16</v>
      </c>
      <c r="D3" s="280" t="s">
        <v>24</v>
      </c>
      <c r="E3" s="321" t="s">
        <v>124</v>
      </c>
      <c r="F3" s="322" t="s">
        <v>93</v>
      </c>
      <c r="G3" s="292" t="s">
        <v>4</v>
      </c>
      <c r="H3" s="325" t="s">
        <v>126</v>
      </c>
      <c r="I3" s="292" t="s">
        <v>4</v>
      </c>
      <c r="J3" s="313" t="e">
        <f>IFERROR(H3/H4,NA())</f>
        <v>#N/A</v>
      </c>
      <c r="K3" s="325" t="s">
        <v>126</v>
      </c>
      <c r="L3" s="292" t="s">
        <v>4</v>
      </c>
      <c r="M3" s="313" t="e">
        <f>IFERROR(K3/K4,NA())</f>
        <v>#N/A</v>
      </c>
      <c r="N3" s="325" t="s">
        <v>126</v>
      </c>
      <c r="O3" s="292" t="s">
        <v>4</v>
      </c>
      <c r="P3" s="340" t="e">
        <f>IFERROR(N3/N4,NA())</f>
        <v>#N/A</v>
      </c>
      <c r="Q3" s="308"/>
      <c r="R3" s="308"/>
      <c r="S3" s="308"/>
    </row>
    <row r="4" spans="1:19" s="265" customFormat="1" ht="135" customHeight="1" x14ac:dyDescent="0.25">
      <c r="A4" s="305"/>
      <c r="B4" s="300"/>
      <c r="C4" s="282" t="s">
        <v>17</v>
      </c>
      <c r="D4" s="283" t="s">
        <v>40</v>
      </c>
      <c r="E4" s="284" t="s">
        <v>124</v>
      </c>
      <c r="F4" s="323" t="s">
        <v>28</v>
      </c>
      <c r="G4" s="281"/>
      <c r="H4" s="326" t="s">
        <v>126</v>
      </c>
      <c r="I4" s="281"/>
      <c r="J4" s="282"/>
      <c r="K4" s="326" t="s">
        <v>126</v>
      </c>
      <c r="L4" s="281"/>
      <c r="M4" s="282"/>
      <c r="N4" s="326" t="s">
        <v>126</v>
      </c>
      <c r="O4" s="281"/>
      <c r="P4" s="282"/>
      <c r="Q4" s="314"/>
      <c r="R4" s="314"/>
      <c r="S4" s="314"/>
    </row>
    <row r="5" spans="1:19" ht="16" thickBot="1" x14ac:dyDescent="0.4">
      <c r="A5" s="285"/>
      <c r="B5" s="301"/>
      <c r="C5" s="287"/>
      <c r="D5" s="288"/>
      <c r="E5" s="289"/>
      <c r="F5" s="315"/>
      <c r="G5" s="286"/>
      <c r="H5" s="315"/>
      <c r="I5" s="286"/>
      <c r="J5" s="287"/>
      <c r="K5" s="315"/>
      <c r="L5" s="286"/>
      <c r="M5" s="287"/>
      <c r="N5" s="315"/>
      <c r="O5" s="286"/>
      <c r="P5" s="287"/>
      <c r="Q5" s="308"/>
      <c r="R5" s="308"/>
      <c r="S5" s="308"/>
    </row>
    <row r="6" spans="1:19" ht="94.5" customHeight="1" x14ac:dyDescent="0.35">
      <c r="A6" s="304" t="s">
        <v>18</v>
      </c>
      <c r="B6" s="299" t="s">
        <v>4</v>
      </c>
      <c r="C6" s="279" t="s">
        <v>19</v>
      </c>
      <c r="D6" s="280" t="s">
        <v>22</v>
      </c>
      <c r="E6" s="294" t="s">
        <v>124</v>
      </c>
      <c r="F6" s="324" t="s">
        <v>102</v>
      </c>
      <c r="G6" s="278" t="s">
        <v>4</v>
      </c>
      <c r="H6" s="325" t="s">
        <v>126</v>
      </c>
      <c r="I6" s="278" t="s">
        <v>4</v>
      </c>
      <c r="J6" s="313" t="e">
        <f>IFERROR(H6/H7,NA())</f>
        <v>#N/A</v>
      </c>
      <c r="K6" s="325" t="s">
        <v>126</v>
      </c>
      <c r="L6" s="278" t="s">
        <v>4</v>
      </c>
      <c r="M6" s="313" t="e">
        <f>IFERROR(K6/K7,NA())</f>
        <v>#N/A</v>
      </c>
      <c r="N6" s="325" t="s">
        <v>126</v>
      </c>
      <c r="O6" s="278" t="s">
        <v>4</v>
      </c>
      <c r="P6" s="313" t="e">
        <f>IFERROR(N6/N7,NA())</f>
        <v>#N/A</v>
      </c>
      <c r="Q6" s="308"/>
      <c r="R6" s="308"/>
      <c r="S6" s="308"/>
    </row>
    <row r="7" spans="1:19" s="265" customFormat="1" ht="67.5" customHeight="1" x14ac:dyDescent="0.25">
      <c r="A7" s="305"/>
      <c r="B7" s="300"/>
      <c r="C7" s="282" t="s">
        <v>20</v>
      </c>
      <c r="D7" s="282"/>
      <c r="E7" s="290" t="s">
        <v>125</v>
      </c>
      <c r="F7" s="323" t="s">
        <v>107</v>
      </c>
      <c r="G7" s="281"/>
      <c r="H7" s="326" t="s">
        <v>126</v>
      </c>
      <c r="I7" s="281"/>
      <c r="J7" s="316" t="s">
        <v>32</v>
      </c>
      <c r="K7" s="326" t="s">
        <v>126</v>
      </c>
      <c r="L7" s="281"/>
      <c r="M7" s="316" t="s">
        <v>32</v>
      </c>
      <c r="N7" s="326" t="s">
        <v>126</v>
      </c>
      <c r="O7" s="281"/>
      <c r="P7" s="316" t="s">
        <v>32</v>
      </c>
      <c r="Q7" s="314"/>
      <c r="R7" s="314"/>
      <c r="S7" s="314"/>
    </row>
    <row r="8" spans="1:19" ht="16" thickBot="1" x14ac:dyDescent="0.4">
      <c r="A8" s="285"/>
      <c r="B8" s="301"/>
      <c r="C8" s="287"/>
      <c r="D8" s="288"/>
      <c r="E8" s="289"/>
      <c r="F8" s="315"/>
      <c r="G8" s="286"/>
      <c r="H8" s="315"/>
      <c r="I8" s="286"/>
      <c r="J8" s="287"/>
      <c r="K8" s="315"/>
      <c r="L8" s="286"/>
      <c r="M8" s="287"/>
      <c r="N8" s="315"/>
      <c r="O8" s="286"/>
      <c r="P8" s="287"/>
      <c r="Q8" s="308"/>
      <c r="R8" s="308"/>
      <c r="S8" s="308"/>
    </row>
    <row r="9" spans="1:19" ht="15.5" x14ac:dyDescent="0.35">
      <c r="A9" s="277"/>
      <c r="B9" s="295"/>
      <c r="C9" s="271"/>
      <c r="D9" s="280"/>
      <c r="E9" s="291"/>
      <c r="F9" s="317"/>
      <c r="G9" s="270"/>
      <c r="H9" s="317"/>
      <c r="I9" s="270"/>
      <c r="J9" s="271"/>
      <c r="K9" s="317"/>
      <c r="L9" s="270"/>
      <c r="M9" s="271"/>
      <c r="N9" s="317"/>
      <c r="O9" s="270"/>
      <c r="P9" s="271"/>
      <c r="Q9" s="308"/>
      <c r="R9" s="308"/>
      <c r="S9" s="308"/>
    </row>
    <row r="10" spans="1:19" ht="137.25" customHeight="1" x14ac:dyDescent="0.35">
      <c r="A10" s="306" t="s">
        <v>1</v>
      </c>
      <c r="B10" s="302" t="s">
        <v>4</v>
      </c>
      <c r="C10" s="293" t="s">
        <v>2</v>
      </c>
      <c r="D10" s="282" t="s">
        <v>35</v>
      </c>
      <c r="E10" s="294" t="s">
        <v>125</v>
      </c>
      <c r="F10" s="322" t="s">
        <v>100</v>
      </c>
      <c r="G10" s="292" t="s">
        <v>4</v>
      </c>
      <c r="H10" s="327" t="s">
        <v>126</v>
      </c>
      <c r="I10" s="292" t="s">
        <v>4</v>
      </c>
      <c r="J10" s="318" t="e">
        <f>IFERROR(H10/H11,NA())</f>
        <v>#N/A</v>
      </c>
      <c r="K10" s="327" t="s">
        <v>126</v>
      </c>
      <c r="L10" s="292" t="s">
        <v>4</v>
      </c>
      <c r="M10" s="318" t="e">
        <f>IFERROR(K10/K11,NA())</f>
        <v>#N/A</v>
      </c>
      <c r="N10" s="327" t="str">
        <f>'Agency Worksheet'!K10</f>
        <v>Enter Dollar Amount</v>
      </c>
      <c r="O10" s="292" t="s">
        <v>4</v>
      </c>
      <c r="P10" s="318" t="e">
        <f>IFERROR(N10/N11,NA())</f>
        <v>#N/A</v>
      </c>
      <c r="Q10" s="308"/>
      <c r="R10" s="308"/>
      <c r="S10" s="308"/>
    </row>
    <row r="11" spans="1:19" s="265" customFormat="1" ht="66.75" customHeight="1" x14ac:dyDescent="0.25">
      <c r="A11" s="305"/>
      <c r="B11" s="300"/>
      <c r="C11" s="282" t="s">
        <v>3</v>
      </c>
      <c r="D11" s="282"/>
      <c r="E11" s="290" t="s">
        <v>125</v>
      </c>
      <c r="F11" s="323" t="s">
        <v>92</v>
      </c>
      <c r="G11" s="281"/>
      <c r="H11" s="326" t="s">
        <v>126</v>
      </c>
      <c r="I11" s="281"/>
      <c r="J11" s="282"/>
      <c r="K11" s="326" t="s">
        <v>126</v>
      </c>
      <c r="L11" s="281"/>
      <c r="M11" s="282"/>
      <c r="N11" s="326" t="str">
        <f>'Agency Worksheet'!K11</f>
        <v>Enter Dollar Amount</v>
      </c>
      <c r="O11" s="281"/>
      <c r="P11" s="282"/>
      <c r="Q11" s="314"/>
      <c r="R11" s="314"/>
      <c r="S11" s="314"/>
    </row>
    <row r="12" spans="1:19" ht="11.25" customHeight="1" thickBot="1" x14ac:dyDescent="0.4">
      <c r="A12" s="319"/>
      <c r="B12" s="301"/>
      <c r="C12" s="303"/>
      <c r="D12" s="287"/>
      <c r="E12" s="289"/>
      <c r="F12" s="315"/>
      <c r="G12" s="286"/>
      <c r="H12" s="315"/>
      <c r="I12" s="286"/>
      <c r="J12" s="287"/>
      <c r="K12" s="315"/>
      <c r="L12" s="286"/>
      <c r="M12" s="287"/>
      <c r="N12" s="315"/>
      <c r="O12" s="286"/>
      <c r="P12" s="287"/>
      <c r="Q12" s="308"/>
      <c r="R12" s="308"/>
      <c r="S12" s="308"/>
    </row>
    <row r="13" spans="1:19" ht="15.5" hidden="1" x14ac:dyDescent="0.35">
      <c r="A13" s="308"/>
      <c r="B13" s="308"/>
      <c r="C13" s="308"/>
      <c r="D13" s="308"/>
      <c r="E13" s="308"/>
      <c r="F13" s="320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08"/>
      <c r="R13" s="308"/>
      <c r="S13" s="308"/>
    </row>
    <row r="14" spans="1:19" ht="15" customHeight="1" x14ac:dyDescent="0.4">
      <c r="A14" s="342" t="s">
        <v>127</v>
      </c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342"/>
      <c r="Q14" s="308"/>
      <c r="R14" s="308"/>
      <c r="S14" s="308"/>
    </row>
    <row r="15" spans="1:19" ht="12.75" customHeight="1" x14ac:dyDescent="0.4">
      <c r="A15" s="342"/>
      <c r="B15" s="342"/>
      <c r="C15" s="342"/>
      <c r="D15" s="342"/>
      <c r="E15" s="342"/>
      <c r="F15" s="342"/>
      <c r="G15" s="342"/>
      <c r="H15" s="342"/>
      <c r="I15" s="342"/>
      <c r="J15" s="342"/>
      <c r="K15" s="342"/>
      <c r="L15" s="342"/>
      <c r="M15" s="342"/>
      <c r="N15" s="342"/>
      <c r="O15" s="342"/>
      <c r="P15" s="342"/>
    </row>
    <row r="16" spans="1:19" ht="12.75" customHeight="1" x14ac:dyDescent="0.4">
      <c r="A16" s="342"/>
      <c r="B16" s="342"/>
      <c r="C16" s="342"/>
      <c r="D16" s="342"/>
      <c r="E16" s="342"/>
      <c r="F16" s="342"/>
      <c r="G16" s="342"/>
      <c r="H16" s="342"/>
      <c r="I16" s="342"/>
      <c r="J16" s="342"/>
      <c r="K16" s="342"/>
      <c r="L16" s="342"/>
      <c r="M16" s="342"/>
      <c r="N16" s="342"/>
      <c r="O16" s="342"/>
      <c r="P16" s="342"/>
    </row>
    <row r="17" spans="1:16" ht="12.75" customHeight="1" x14ac:dyDescent="0.4">
      <c r="A17" s="342"/>
      <c r="B17" s="342"/>
      <c r="C17" s="342"/>
      <c r="D17" s="342"/>
      <c r="E17" s="342"/>
      <c r="F17" s="342"/>
      <c r="G17" s="342"/>
      <c r="H17" s="342"/>
      <c r="I17" s="342"/>
      <c r="J17" s="342"/>
      <c r="K17" s="342"/>
      <c r="L17" s="342"/>
      <c r="M17" s="342"/>
      <c r="N17" s="342"/>
      <c r="O17" s="342"/>
      <c r="P17" s="342"/>
    </row>
    <row r="18" spans="1:16" ht="12.75" customHeight="1" x14ac:dyDescent="0.4">
      <c r="A18" s="342"/>
      <c r="B18" s="342"/>
      <c r="C18" s="342"/>
      <c r="D18" s="342"/>
      <c r="E18" s="342"/>
      <c r="F18" s="342"/>
      <c r="G18" s="342"/>
      <c r="H18" s="342"/>
      <c r="I18" s="342"/>
      <c r="J18" s="342"/>
      <c r="K18" s="342"/>
      <c r="L18" s="342"/>
      <c r="M18" s="342"/>
      <c r="N18" s="342"/>
      <c r="O18" s="342"/>
      <c r="P18" s="342"/>
    </row>
    <row r="19" spans="1:16" ht="12.75" customHeight="1" x14ac:dyDescent="0.35">
      <c r="A19" s="341"/>
      <c r="B19" s="341"/>
      <c r="C19" s="341"/>
      <c r="D19" s="341"/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</row>
  </sheetData>
  <mergeCells count="2">
    <mergeCell ref="D1:D2"/>
    <mergeCell ref="F1:P1"/>
  </mergeCells>
  <pageMargins left="0.7" right="0.7" top="1.25" bottom="1.25" header="0.3" footer="0.3"/>
  <pageSetup scale="55" fitToHeight="0" orientation="landscape" r:id="rId1"/>
  <headerFooter>
    <oddHeader>&amp;C&amp;"Arial Narrow,Bold"&amp;14Ratio Calculation Worksheet</oddHeader>
    <oddFooter xml:space="preserve">&amp;LPlease Note: The dates of June 30th (2021, 2022, and 2023) are merely placeholders
as a template. They can be updated to reflect the time of the year in which your agency
 conducts their Financial Audit.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4"/>
  <sheetViews>
    <sheetView workbookViewId="0">
      <selection activeCell="S4" sqref="S4"/>
    </sheetView>
  </sheetViews>
  <sheetFormatPr defaultColWidth="8.81640625" defaultRowHeight="12.5" x14ac:dyDescent="0.25"/>
  <cols>
    <col min="1" max="1" width="12.54296875" style="74" customWidth="1"/>
    <col min="2" max="2" width="3.7265625" style="74" customWidth="1"/>
    <col min="3" max="3" width="18.453125" style="74" customWidth="1"/>
    <col min="4" max="4" width="29.7265625" style="74" customWidth="1"/>
    <col min="5" max="5" width="20" style="74" customWidth="1"/>
    <col min="6" max="6" width="19.1796875" style="266" customWidth="1"/>
    <col min="7" max="7" width="2.7265625" style="266" customWidth="1"/>
    <col min="8" max="8" width="22" style="267" customWidth="1"/>
    <col min="9" max="9" width="2.7265625" style="267" customWidth="1"/>
    <col min="10" max="10" width="11.26953125" style="267" customWidth="1"/>
    <col min="11" max="11" width="21.7265625" style="266" customWidth="1"/>
    <col min="12" max="12" width="2.81640625" style="266" customWidth="1"/>
    <col min="13" max="13" width="8" style="266" customWidth="1"/>
    <col min="14" max="14" width="6.81640625" style="266" customWidth="1"/>
    <col min="15" max="15" width="1.453125" style="266" customWidth="1"/>
    <col min="16" max="16" width="8" style="266" customWidth="1"/>
    <col min="17" max="16384" width="8.81640625" style="74"/>
  </cols>
  <sheetData>
    <row r="1" spans="1:16" ht="33" customHeight="1" thickBot="1" x14ac:dyDescent="0.45">
      <c r="A1" s="307"/>
      <c r="B1" s="295"/>
      <c r="C1" s="296"/>
      <c r="D1" s="343" t="s">
        <v>25</v>
      </c>
      <c r="E1" s="272" t="s">
        <v>103</v>
      </c>
      <c r="F1" s="392" t="s">
        <v>110</v>
      </c>
      <c r="G1" s="393"/>
      <c r="H1" s="393"/>
      <c r="I1" s="393"/>
      <c r="J1" s="393"/>
      <c r="K1" s="393"/>
      <c r="L1" s="393"/>
      <c r="M1" s="393"/>
      <c r="N1" s="393"/>
      <c r="O1" s="393"/>
      <c r="P1" s="393"/>
    </row>
    <row r="2" spans="1:16" s="264" customFormat="1" ht="27" customHeight="1" thickBot="1" x14ac:dyDescent="0.4">
      <c r="A2" s="309" t="s">
        <v>0</v>
      </c>
      <c r="B2" s="297"/>
      <c r="C2" s="298" t="s">
        <v>31</v>
      </c>
      <c r="D2" s="344"/>
      <c r="E2" s="328" t="s">
        <v>104</v>
      </c>
      <c r="F2" s="329" t="s">
        <v>106</v>
      </c>
      <c r="G2" s="330"/>
      <c r="H2" s="333">
        <v>43100</v>
      </c>
      <c r="I2" s="331"/>
      <c r="J2" s="332">
        <f>YEAR(H2)</f>
        <v>2017</v>
      </c>
      <c r="K2" s="333">
        <v>43465</v>
      </c>
      <c r="L2" s="331"/>
      <c r="M2" s="332">
        <f>YEAR(K2)</f>
        <v>2018</v>
      </c>
      <c r="N2" s="333"/>
      <c r="O2" s="331"/>
      <c r="P2" s="332"/>
    </row>
    <row r="3" spans="1:16" ht="92.25" customHeight="1" x14ac:dyDescent="0.35">
      <c r="A3" s="304" t="s">
        <v>15</v>
      </c>
      <c r="B3" s="299" t="s">
        <v>4</v>
      </c>
      <c r="C3" s="279" t="s">
        <v>16</v>
      </c>
      <c r="D3" s="335" t="s">
        <v>24</v>
      </c>
      <c r="E3" s="321" t="s">
        <v>120</v>
      </c>
      <c r="F3" s="322" t="s">
        <v>47</v>
      </c>
      <c r="G3" s="292" t="s">
        <v>4</v>
      </c>
      <c r="H3" s="327">
        <v>35000</v>
      </c>
      <c r="I3" s="292" t="s">
        <v>4</v>
      </c>
      <c r="J3" s="313">
        <f>IFERROR(H3/H4,NA())</f>
        <v>0.23918125114209046</v>
      </c>
      <c r="K3" s="327">
        <v>72400</v>
      </c>
      <c r="L3" s="292" t="s">
        <v>4</v>
      </c>
      <c r="M3" s="313">
        <f>IFERROR(K3/K4,NA())</f>
        <v>0.64864671152243836</v>
      </c>
      <c r="N3" s="327"/>
      <c r="O3" s="292" t="s">
        <v>4</v>
      </c>
      <c r="P3" s="313" t="e">
        <f>IFERROR(N3/N4,NA())</f>
        <v>#N/A</v>
      </c>
    </row>
    <row r="4" spans="1:16" s="337" customFormat="1" ht="120" customHeight="1" x14ac:dyDescent="0.25">
      <c r="A4" s="305"/>
      <c r="B4" s="300"/>
      <c r="C4" s="282" t="s">
        <v>17</v>
      </c>
      <c r="D4" s="334" t="s">
        <v>114</v>
      </c>
      <c r="E4" s="284" t="s">
        <v>120</v>
      </c>
      <c r="F4" s="323" t="s">
        <v>28</v>
      </c>
      <c r="G4" s="281"/>
      <c r="H4" s="326">
        <v>146332.54</v>
      </c>
      <c r="I4" s="281"/>
      <c r="J4" s="282"/>
      <c r="K4" s="326">
        <v>111617</v>
      </c>
      <c r="L4" s="281"/>
      <c r="M4" s="282"/>
      <c r="N4" s="326"/>
      <c r="O4" s="281"/>
      <c r="P4" s="282"/>
    </row>
    <row r="5" spans="1:16" ht="16" thickBot="1" x14ac:dyDescent="0.4">
      <c r="A5" s="285"/>
      <c r="B5" s="301"/>
      <c r="C5" s="287"/>
      <c r="D5" s="336"/>
      <c r="E5" s="289"/>
      <c r="F5" s="315"/>
      <c r="G5" s="286"/>
      <c r="H5" s="315"/>
      <c r="I5" s="286"/>
      <c r="J5" s="287"/>
      <c r="K5" s="315"/>
      <c r="L5" s="286"/>
      <c r="M5" s="287"/>
      <c r="N5" s="315"/>
      <c r="O5" s="286"/>
      <c r="P5" s="287"/>
    </row>
    <row r="6" spans="1:16" ht="58.5" customHeight="1" x14ac:dyDescent="0.35">
      <c r="A6" s="304" t="s">
        <v>18</v>
      </c>
      <c r="B6" s="299" t="s">
        <v>4</v>
      </c>
      <c r="C6" s="279" t="s">
        <v>19</v>
      </c>
      <c r="D6" s="335" t="s">
        <v>22</v>
      </c>
      <c r="E6" s="294" t="s">
        <v>120</v>
      </c>
      <c r="F6" s="324" t="s">
        <v>78</v>
      </c>
      <c r="G6" s="278" t="s">
        <v>4</v>
      </c>
      <c r="H6" s="325">
        <v>145173.51999999999</v>
      </c>
      <c r="I6" s="278" t="s">
        <v>4</v>
      </c>
      <c r="J6" s="313">
        <f>IFERROR(H6/H7,NA())</f>
        <v>7.0657802005256496</v>
      </c>
      <c r="K6" s="325">
        <v>61709</v>
      </c>
      <c r="L6" s="278" t="s">
        <v>4</v>
      </c>
      <c r="M6" s="313">
        <f>IFERROR(K6/K7,NA())</f>
        <v>4.7131291529825097</v>
      </c>
      <c r="N6" s="325"/>
      <c r="O6" s="278" t="s">
        <v>4</v>
      </c>
      <c r="P6" s="313" t="e">
        <f>IFERROR(N6/N7,NA())</f>
        <v>#N/A</v>
      </c>
    </row>
    <row r="7" spans="1:16" s="265" customFormat="1" ht="55.15" customHeight="1" x14ac:dyDescent="0.25">
      <c r="A7" s="305"/>
      <c r="B7" s="300"/>
      <c r="C7" s="282" t="s">
        <v>20</v>
      </c>
      <c r="D7" s="334"/>
      <c r="E7" s="290" t="s">
        <v>113</v>
      </c>
      <c r="F7" s="323" t="s">
        <v>107</v>
      </c>
      <c r="G7" s="281"/>
      <c r="H7" s="326">
        <v>20546</v>
      </c>
      <c r="I7" s="281"/>
      <c r="J7" s="316" t="s">
        <v>32</v>
      </c>
      <c r="K7" s="326">
        <v>13093</v>
      </c>
      <c r="L7" s="281"/>
      <c r="M7" s="316" t="s">
        <v>32</v>
      </c>
      <c r="N7" s="326"/>
      <c r="O7" s="281"/>
      <c r="P7" s="316" t="s">
        <v>32</v>
      </c>
    </row>
    <row r="8" spans="1:16" ht="16" thickBot="1" x14ac:dyDescent="0.4">
      <c r="A8" s="285"/>
      <c r="B8" s="301"/>
      <c r="C8" s="287"/>
      <c r="D8" s="336"/>
      <c r="E8" s="289"/>
      <c r="F8" s="315"/>
      <c r="G8" s="286"/>
      <c r="H8" s="315"/>
      <c r="I8" s="286"/>
      <c r="J8" s="287"/>
      <c r="K8" s="315"/>
      <c r="L8" s="286"/>
      <c r="M8" s="287"/>
      <c r="N8" s="315"/>
      <c r="O8" s="286"/>
      <c r="P8" s="287"/>
    </row>
    <row r="9" spans="1:16" ht="15.5" x14ac:dyDescent="0.35">
      <c r="A9" s="277"/>
      <c r="B9" s="295"/>
      <c r="C9" s="271"/>
      <c r="D9" s="335"/>
      <c r="E9" s="291"/>
      <c r="F9" s="317"/>
      <c r="G9" s="270"/>
      <c r="H9" s="317"/>
      <c r="I9" s="270"/>
      <c r="J9" s="271"/>
      <c r="K9" s="317"/>
      <c r="L9" s="270"/>
      <c r="M9" s="271"/>
      <c r="N9" s="317"/>
      <c r="O9" s="270"/>
      <c r="P9" s="271"/>
    </row>
    <row r="10" spans="1:16" ht="106.5" customHeight="1" x14ac:dyDescent="0.35">
      <c r="A10" s="306" t="s">
        <v>1</v>
      </c>
      <c r="B10" s="302" t="s">
        <v>4</v>
      </c>
      <c r="C10" s="293" t="s">
        <v>2</v>
      </c>
      <c r="D10" s="334" t="s">
        <v>35</v>
      </c>
      <c r="E10" s="294" t="s">
        <v>121</v>
      </c>
      <c r="F10" s="322" t="s">
        <v>122</v>
      </c>
      <c r="G10" s="292" t="s">
        <v>4</v>
      </c>
      <c r="H10" s="327">
        <v>234445</v>
      </c>
      <c r="I10" s="292" t="s">
        <v>4</v>
      </c>
      <c r="J10" s="318">
        <f>IFERROR(H10/H11,NA())</f>
        <v>0.69651036852586568</v>
      </c>
      <c r="K10" s="327">
        <v>15600</v>
      </c>
      <c r="L10" s="292" t="s">
        <v>4</v>
      </c>
      <c r="M10" s="318">
        <f>IFERROR(K10/K11,NA())</f>
        <v>0.83222192584689247</v>
      </c>
      <c r="N10" s="327"/>
      <c r="O10" s="292" t="s">
        <v>4</v>
      </c>
      <c r="P10" s="318" t="e">
        <f>IFERROR(N10/N11,NA())</f>
        <v>#N/A</v>
      </c>
    </row>
    <row r="11" spans="1:16" s="265" customFormat="1" ht="55.15" customHeight="1" x14ac:dyDescent="0.25">
      <c r="A11" s="305"/>
      <c r="B11" s="300"/>
      <c r="C11" s="282" t="s">
        <v>3</v>
      </c>
      <c r="D11" s="334"/>
      <c r="E11" s="290" t="s">
        <v>121</v>
      </c>
      <c r="F11" s="323" t="s">
        <v>94</v>
      </c>
      <c r="G11" s="281"/>
      <c r="H11" s="326">
        <v>336599.44</v>
      </c>
      <c r="I11" s="281"/>
      <c r="J11" s="282"/>
      <c r="K11" s="326">
        <v>18745</v>
      </c>
      <c r="L11" s="281"/>
      <c r="M11" s="282"/>
      <c r="N11" s="326"/>
      <c r="O11" s="281"/>
      <c r="P11" s="282"/>
    </row>
    <row r="12" spans="1:16" ht="16" thickBot="1" x14ac:dyDescent="0.4">
      <c r="A12" s="319"/>
      <c r="B12" s="301"/>
      <c r="C12" s="303"/>
      <c r="D12" s="287"/>
      <c r="E12" s="289"/>
      <c r="F12" s="315"/>
      <c r="G12" s="286"/>
      <c r="H12" s="315"/>
      <c r="I12" s="286"/>
      <c r="J12" s="287"/>
      <c r="K12" s="315"/>
      <c r="L12" s="286"/>
      <c r="M12" s="287"/>
      <c r="N12" s="315"/>
      <c r="O12" s="286"/>
      <c r="P12" s="287"/>
    </row>
    <row r="13" spans="1:16" s="69" customFormat="1" ht="24" customHeight="1" x14ac:dyDescent="0.25">
      <c r="D13" s="269"/>
      <c r="E13" s="269"/>
      <c r="F13" s="182"/>
      <c r="G13" s="269"/>
      <c r="H13" s="138"/>
      <c r="I13" s="138"/>
      <c r="J13" s="138"/>
      <c r="K13" s="269"/>
      <c r="L13" s="269"/>
      <c r="M13" s="269"/>
      <c r="N13" s="269"/>
      <c r="O13" s="269"/>
      <c r="P13" s="269"/>
    </row>
    <row r="14" spans="1:16" ht="25.5" customHeight="1" x14ac:dyDescent="0.25"/>
  </sheetData>
  <mergeCells count="2">
    <mergeCell ref="D1:D2"/>
    <mergeCell ref="F1:P1"/>
  </mergeCells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796875" defaultRowHeight="12.5" x14ac:dyDescent="0.25"/>
  <cols>
    <col min="1" max="16384" width="9.1796875" style="263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5"/>
  <sheetViews>
    <sheetView topLeftCell="A7" zoomScale="85" zoomScaleNormal="85" zoomScaleSheetLayoutView="75" workbookViewId="0">
      <pane xSplit="3" topLeftCell="D1" activePane="topRight" state="frozen"/>
      <selection activeCell="D22" sqref="D22"/>
      <selection pane="topRight" activeCell="D22" sqref="D22"/>
    </sheetView>
  </sheetViews>
  <sheetFormatPr defaultRowHeight="12.5" x14ac:dyDescent="0.25"/>
  <cols>
    <col min="1" max="1" width="31" bestFit="1" customWidth="1"/>
    <col min="2" max="2" width="2.1796875" bestFit="1" customWidth="1"/>
    <col min="3" max="3" width="47.81640625" bestFit="1" customWidth="1"/>
    <col min="4" max="4" width="67.54296875" customWidth="1"/>
    <col min="5" max="5" width="16.81640625" style="3" customWidth="1"/>
    <col min="6" max="6" width="2.81640625" style="3" customWidth="1"/>
    <col min="7" max="7" width="11.26953125" style="139" customWidth="1"/>
    <col min="8" max="8" width="2.7265625" style="139" customWidth="1"/>
    <col min="9" max="10" width="11.26953125" style="139" customWidth="1"/>
    <col min="11" max="11" width="2.81640625" style="139" customWidth="1"/>
    <col min="12" max="12" width="11.26953125" style="139" customWidth="1"/>
    <col min="13" max="13" width="12.81640625" style="2" bestFit="1" customWidth="1"/>
    <col min="14" max="14" width="2.81640625" style="3" customWidth="1"/>
    <col min="15" max="15" width="9.26953125" bestFit="1" customWidth="1"/>
    <col min="16" max="16" width="12.81640625" style="2" bestFit="1" customWidth="1"/>
    <col min="17" max="17" width="2.81640625" style="3" customWidth="1"/>
    <col min="18" max="18" width="9.26953125" bestFit="1" customWidth="1"/>
  </cols>
  <sheetData>
    <row r="1" spans="1:18" ht="13.5" customHeight="1" thickBot="1" x14ac:dyDescent="0.35">
      <c r="A1" s="8"/>
      <c r="B1" s="9"/>
      <c r="C1" s="10"/>
      <c r="D1" s="354" t="s">
        <v>25</v>
      </c>
      <c r="E1" s="348" t="s">
        <v>64</v>
      </c>
      <c r="F1" s="349"/>
      <c r="G1" s="349"/>
      <c r="H1" s="349"/>
      <c r="I1" s="349"/>
      <c r="J1" s="349"/>
      <c r="K1" s="349"/>
      <c r="L1" s="350"/>
      <c r="M1" s="106"/>
      <c r="N1" s="106"/>
      <c r="O1" s="107"/>
      <c r="P1" s="98"/>
      <c r="Q1" s="98"/>
      <c r="R1" s="99"/>
    </row>
    <row r="2" spans="1:18" s="1" customFormat="1" ht="13.5" customHeight="1" thickBot="1" x14ac:dyDescent="0.35">
      <c r="A2" s="33" t="s">
        <v>0</v>
      </c>
      <c r="B2" s="34"/>
      <c r="C2" s="35" t="s">
        <v>31</v>
      </c>
      <c r="D2" s="355"/>
      <c r="E2" s="36"/>
      <c r="F2" s="37"/>
      <c r="G2" s="364">
        <v>41455</v>
      </c>
      <c r="H2" s="360"/>
      <c r="I2" s="361"/>
      <c r="J2" s="360">
        <v>41090</v>
      </c>
      <c r="K2" s="360"/>
      <c r="L2" s="361"/>
      <c r="M2" s="359" t="s">
        <v>41</v>
      </c>
      <c r="N2" s="357"/>
      <c r="O2" s="358"/>
      <c r="P2" s="356" t="s">
        <v>30</v>
      </c>
      <c r="Q2" s="357"/>
      <c r="R2" s="358"/>
    </row>
    <row r="3" spans="1:18" ht="37.5" x14ac:dyDescent="0.25">
      <c r="A3" s="8" t="s">
        <v>7</v>
      </c>
      <c r="B3" s="17" t="s">
        <v>4</v>
      </c>
      <c r="C3" s="18" t="s">
        <v>8</v>
      </c>
      <c r="D3" s="7" t="s">
        <v>53</v>
      </c>
      <c r="E3" s="28" t="s">
        <v>42</v>
      </c>
      <c r="F3" s="29" t="s">
        <v>4</v>
      </c>
      <c r="G3" s="161">
        <f>76169+218671</f>
        <v>294840</v>
      </c>
      <c r="H3" s="104" t="s">
        <v>4</v>
      </c>
      <c r="I3" s="129">
        <f>G3/G4</f>
        <v>0.13357967617212949</v>
      </c>
      <c r="J3" s="158">
        <f>72228+211074</f>
        <v>283302</v>
      </c>
      <c r="K3" s="104" t="s">
        <v>4</v>
      </c>
      <c r="L3" s="129">
        <f>+J3/J4</f>
        <v>0.11770635028132159</v>
      </c>
      <c r="M3" s="30">
        <f>54484+162885</f>
        <v>217369</v>
      </c>
      <c r="N3" s="29" t="s">
        <v>4</v>
      </c>
      <c r="O3" s="49">
        <f>+M3/M4</f>
        <v>0.11674128289791683</v>
      </c>
      <c r="P3" s="45">
        <f>34516+156159</f>
        <v>190675</v>
      </c>
      <c r="Q3" s="44" t="s">
        <v>4</v>
      </c>
      <c r="R3" s="48">
        <f>+P3/P4</f>
        <v>0.13773592265550957</v>
      </c>
    </row>
    <row r="4" spans="1:18" s="64" customFormat="1" ht="25" x14ac:dyDescent="0.25">
      <c r="A4" s="54"/>
      <c r="B4" s="55"/>
      <c r="C4" s="56" t="s">
        <v>5</v>
      </c>
      <c r="D4" s="57" t="s">
        <v>38</v>
      </c>
      <c r="E4" s="58" t="s">
        <v>5</v>
      </c>
      <c r="F4" s="59"/>
      <c r="G4" s="162">
        <v>2207222</v>
      </c>
      <c r="H4" s="130"/>
      <c r="I4" s="131"/>
      <c r="J4" s="159">
        <v>2406854</v>
      </c>
      <c r="K4" s="130"/>
      <c r="L4" s="131"/>
      <c r="M4" s="61">
        <v>1861972</v>
      </c>
      <c r="N4" s="59"/>
      <c r="O4" s="65"/>
      <c r="P4" s="62">
        <v>1384352</v>
      </c>
      <c r="Q4" s="60"/>
      <c r="R4" s="66"/>
    </row>
    <row r="5" spans="1:18" ht="13" thickBot="1" x14ac:dyDescent="0.3">
      <c r="A5" s="14"/>
      <c r="B5" s="15"/>
      <c r="C5" s="16"/>
      <c r="D5" s="6"/>
      <c r="E5" s="25"/>
      <c r="F5" s="26"/>
      <c r="G5" s="141"/>
      <c r="H5" s="132"/>
      <c r="I5" s="133"/>
      <c r="J5" s="132"/>
      <c r="K5" s="132"/>
      <c r="L5" s="133"/>
      <c r="M5" s="27"/>
      <c r="N5" s="26"/>
      <c r="O5" s="52"/>
      <c r="P5" s="42"/>
      <c r="Q5" s="41"/>
      <c r="R5" s="53"/>
    </row>
    <row r="6" spans="1:18" ht="132.75" customHeight="1" x14ac:dyDescent="0.25">
      <c r="A6" s="8" t="s">
        <v>12</v>
      </c>
      <c r="B6" s="17" t="s">
        <v>4</v>
      </c>
      <c r="C6" s="18" t="s">
        <v>13</v>
      </c>
      <c r="D6" s="7" t="s">
        <v>33</v>
      </c>
      <c r="E6" s="28" t="s">
        <v>43</v>
      </c>
      <c r="F6" s="29" t="s">
        <v>4</v>
      </c>
      <c r="G6" s="161">
        <f>228036+382422+150+223737</f>
        <v>834345</v>
      </c>
      <c r="H6" s="104" t="s">
        <v>4</v>
      </c>
      <c r="I6" s="129">
        <f>G6/G7</f>
        <v>4.5804625781623143</v>
      </c>
      <c r="J6" s="158">
        <f>151127+350821+24225+36859</f>
        <v>563032</v>
      </c>
      <c r="K6" s="104" t="s">
        <v>4</v>
      </c>
      <c r="L6" s="129">
        <f>+J6/J7</f>
        <v>1.5795539346331884</v>
      </c>
      <c r="M6" s="30">
        <f>95083+106636+386887+38542+40000</f>
        <v>667148</v>
      </c>
      <c r="N6" s="29" t="s">
        <v>4</v>
      </c>
      <c r="O6" s="49">
        <f>+M6/M7</f>
        <v>4.1959785404756067</v>
      </c>
      <c r="P6" s="45">
        <f>46583+24909+293023+36543</f>
        <v>401058</v>
      </c>
      <c r="Q6" s="44" t="s">
        <v>4</v>
      </c>
      <c r="R6" s="48">
        <f>+P6/P7</f>
        <v>2.1815363192306436</v>
      </c>
    </row>
    <row r="7" spans="1:18" s="64" customFormat="1" ht="117" customHeight="1" x14ac:dyDescent="0.25">
      <c r="A7" s="54"/>
      <c r="B7" s="55"/>
      <c r="C7" s="56" t="s">
        <v>14</v>
      </c>
      <c r="D7" s="57" t="s">
        <v>34</v>
      </c>
      <c r="E7" s="58" t="s">
        <v>46</v>
      </c>
      <c r="F7" s="59"/>
      <c r="G7" s="162">
        <f>58730+56805+64156+2462</f>
        <v>182153</v>
      </c>
      <c r="H7" s="130"/>
      <c r="I7" s="131"/>
      <c r="J7" s="159">
        <f>124532+115314+48914+64156+3534</f>
        <v>356450</v>
      </c>
      <c r="K7" s="130"/>
      <c r="L7" s="131"/>
      <c r="M7" s="61">
        <f>13984+38050+24497+78262+4204</f>
        <v>158997</v>
      </c>
      <c r="N7" s="59"/>
      <c r="O7" s="65"/>
      <c r="P7" s="62">
        <f>19549+27977+24150+56262+50000+5904</f>
        <v>183842</v>
      </c>
      <c r="Q7" s="60"/>
      <c r="R7" s="66"/>
    </row>
    <row r="8" spans="1:18" ht="13" thickBot="1" x14ac:dyDescent="0.3">
      <c r="A8" s="14"/>
      <c r="B8" s="15"/>
      <c r="C8" s="16"/>
      <c r="D8" s="6"/>
      <c r="E8" s="25"/>
      <c r="F8" s="26"/>
      <c r="G8" s="141"/>
      <c r="H8" s="132"/>
      <c r="I8" s="133"/>
      <c r="J8" s="132"/>
      <c r="K8" s="132"/>
      <c r="L8" s="133"/>
      <c r="M8" s="27"/>
      <c r="N8" s="26"/>
      <c r="O8" s="52"/>
      <c r="P8" s="42"/>
      <c r="Q8" s="41"/>
      <c r="R8" s="53"/>
    </row>
    <row r="9" spans="1:18" ht="25" x14ac:dyDescent="0.25">
      <c r="A9" s="8" t="s">
        <v>15</v>
      </c>
      <c r="B9" s="17" t="s">
        <v>4</v>
      </c>
      <c r="C9" s="18" t="s">
        <v>16</v>
      </c>
      <c r="D9" s="7" t="s">
        <v>24</v>
      </c>
      <c r="E9" s="22" t="s">
        <v>39</v>
      </c>
      <c r="F9" s="23" t="s">
        <v>4</v>
      </c>
      <c r="G9" s="163">
        <v>1232153</v>
      </c>
      <c r="H9" s="105" t="s">
        <v>4</v>
      </c>
      <c r="I9" s="134">
        <f>G9/G10</f>
        <v>2.2167962635788898</v>
      </c>
      <c r="J9" s="158">
        <v>695344</v>
      </c>
      <c r="K9" s="105" t="s">
        <v>4</v>
      </c>
      <c r="L9" s="144">
        <f>+J9/J10</f>
        <v>-5.9899040366624741</v>
      </c>
      <c r="M9" s="24">
        <v>183997</v>
      </c>
      <c r="N9" s="23" t="s">
        <v>4</v>
      </c>
      <c r="O9" s="51">
        <f>+M9/M10</f>
        <v>0.49121931164101962</v>
      </c>
      <c r="P9" s="40">
        <v>183842</v>
      </c>
      <c r="Q9" s="39" t="s">
        <v>4</v>
      </c>
      <c r="R9" s="50">
        <f>+P9/P10</f>
        <v>0.70649767885141579</v>
      </c>
    </row>
    <row r="10" spans="1:18" s="64" customFormat="1" ht="100" x14ac:dyDescent="0.25">
      <c r="A10" s="54"/>
      <c r="B10" s="55"/>
      <c r="C10" s="56" t="s">
        <v>17</v>
      </c>
      <c r="D10" s="57" t="s">
        <v>40</v>
      </c>
      <c r="E10" s="58" t="s">
        <v>62</v>
      </c>
      <c r="F10" s="59"/>
      <c r="G10" s="162">
        <v>555826</v>
      </c>
      <c r="H10" s="130"/>
      <c r="I10" s="131"/>
      <c r="J10" s="159">
        <v>-116086</v>
      </c>
      <c r="K10" s="130"/>
      <c r="L10" s="131"/>
      <c r="M10" s="61">
        <v>374572</v>
      </c>
      <c r="N10" s="59"/>
      <c r="O10" s="65"/>
      <c r="P10" s="62">
        <v>260216</v>
      </c>
      <c r="Q10" s="60"/>
      <c r="R10" s="66"/>
    </row>
    <row r="11" spans="1:18" ht="13" thickBot="1" x14ac:dyDescent="0.3">
      <c r="A11" s="14"/>
      <c r="B11" s="15"/>
      <c r="C11" s="16"/>
      <c r="D11" s="6"/>
      <c r="E11" s="25"/>
      <c r="F11" s="26"/>
      <c r="G11" s="141"/>
      <c r="H11" s="132"/>
      <c r="I11" s="133"/>
      <c r="J11" s="132"/>
      <c r="K11" s="132"/>
      <c r="L11" s="133"/>
      <c r="M11" s="27"/>
      <c r="N11" s="26"/>
      <c r="O11" s="52"/>
      <c r="P11" s="42"/>
      <c r="Q11" s="41"/>
      <c r="R11" s="53"/>
    </row>
    <row r="12" spans="1:18" ht="75" x14ac:dyDescent="0.25">
      <c r="A12" s="8" t="s">
        <v>18</v>
      </c>
      <c r="B12" s="17" t="s">
        <v>4</v>
      </c>
      <c r="C12" s="18" t="s">
        <v>19</v>
      </c>
      <c r="D12" s="7" t="s">
        <v>22</v>
      </c>
      <c r="E12" s="28" t="s">
        <v>44</v>
      </c>
      <c r="F12" s="29" t="s">
        <v>4</v>
      </c>
      <c r="G12" s="161">
        <f>228036+382422</f>
        <v>610458</v>
      </c>
      <c r="H12" s="104" t="s">
        <v>4</v>
      </c>
      <c r="I12" s="129">
        <f>G12/G13</f>
        <v>3.3188759445130578</v>
      </c>
      <c r="J12" s="158">
        <f>151127+350821</f>
        <v>501948</v>
      </c>
      <c r="K12" s="104" t="s">
        <v>4</v>
      </c>
      <c r="L12" s="129">
        <f>+J12/J13</f>
        <v>2.502593011458111</v>
      </c>
      <c r="M12" s="30">
        <f>95083+106636+386887</f>
        <v>588606</v>
      </c>
      <c r="N12" s="29" t="s">
        <v>4</v>
      </c>
      <c r="O12" s="49">
        <f>+M12/M13</f>
        <v>3.7934362063446709</v>
      </c>
      <c r="P12" s="45">
        <f>46583+24909+293023</f>
        <v>364515</v>
      </c>
      <c r="Q12" s="44" t="s">
        <v>4</v>
      </c>
      <c r="R12" s="48">
        <f>+P12/P13</f>
        <v>3.1597310510621575</v>
      </c>
    </row>
    <row r="13" spans="1:18" s="64" customFormat="1" x14ac:dyDescent="0.25">
      <c r="A13" s="54"/>
      <c r="B13" s="55"/>
      <c r="C13" s="56" t="s">
        <v>20</v>
      </c>
      <c r="D13" s="57"/>
      <c r="E13" s="58" t="s">
        <v>27</v>
      </c>
      <c r="F13" s="59"/>
      <c r="G13" s="162">
        <f>2207222/12</f>
        <v>183935.16666666666</v>
      </c>
      <c r="H13" s="130"/>
      <c r="I13" s="135" t="s">
        <v>32</v>
      </c>
      <c r="J13" s="159">
        <f>2406854/12</f>
        <v>200571.16666666666</v>
      </c>
      <c r="K13" s="130"/>
      <c r="L13" s="135" t="s">
        <v>32</v>
      </c>
      <c r="M13" s="61">
        <f>1861972/12</f>
        <v>155164.33333333334</v>
      </c>
      <c r="N13" s="59"/>
      <c r="O13" s="67" t="s">
        <v>32</v>
      </c>
      <c r="P13" s="62">
        <f>1384352/12</f>
        <v>115362.66666666667</v>
      </c>
      <c r="Q13" s="60"/>
      <c r="R13" s="68" t="s">
        <v>32</v>
      </c>
    </row>
    <row r="14" spans="1:18" ht="13" thickBot="1" x14ac:dyDescent="0.3">
      <c r="A14" s="14"/>
      <c r="B14" s="15"/>
      <c r="C14" s="16"/>
      <c r="D14" s="6"/>
      <c r="E14" s="25"/>
      <c r="F14" s="26"/>
      <c r="G14" s="141"/>
      <c r="H14" s="132"/>
      <c r="I14" s="133"/>
      <c r="J14" s="132"/>
      <c r="K14" s="132"/>
      <c r="L14" s="133"/>
      <c r="M14" s="27"/>
      <c r="N14" s="26"/>
      <c r="O14" s="52"/>
      <c r="P14" s="42"/>
      <c r="Q14" s="41"/>
      <c r="R14" s="53"/>
    </row>
    <row r="15" spans="1:18" x14ac:dyDescent="0.25">
      <c r="A15" s="8"/>
      <c r="B15" s="9"/>
      <c r="C15" s="10"/>
      <c r="D15" s="7"/>
      <c r="E15" s="19"/>
      <c r="F15" s="20"/>
      <c r="G15" s="142"/>
      <c r="H15" s="136"/>
      <c r="I15" s="137"/>
      <c r="J15" s="136"/>
      <c r="K15" s="136"/>
      <c r="L15" s="137"/>
      <c r="M15" s="21"/>
      <c r="N15" s="20"/>
      <c r="O15" s="49"/>
      <c r="P15" s="73"/>
      <c r="Q15" s="38"/>
      <c r="R15" s="48"/>
    </row>
    <row r="16" spans="1:18" ht="37.5" x14ac:dyDescent="0.25">
      <c r="A16" s="11" t="s">
        <v>1</v>
      </c>
      <c r="B16" s="12" t="s">
        <v>4</v>
      </c>
      <c r="C16" s="13" t="s">
        <v>2</v>
      </c>
      <c r="D16" s="5" t="s">
        <v>35</v>
      </c>
      <c r="E16" s="22" t="s">
        <v>45</v>
      </c>
      <c r="F16" s="23" t="s">
        <v>4</v>
      </c>
      <c r="G16" s="163">
        <v>1356421</v>
      </c>
      <c r="H16" s="105" t="s">
        <v>4</v>
      </c>
      <c r="I16" s="134">
        <f>G16/G17</f>
        <v>0.5264863480135773</v>
      </c>
      <c r="J16" s="160">
        <v>1630756</v>
      </c>
      <c r="K16" s="105" t="s">
        <v>4</v>
      </c>
      <c r="L16" s="134">
        <f>+J16/J17</f>
        <v>0.73733413151559979</v>
      </c>
      <c r="M16" s="24">
        <v>1412422</v>
      </c>
      <c r="N16" s="23" t="s">
        <v>4</v>
      </c>
      <c r="O16" s="51">
        <f>+M16/M17</f>
        <v>0.67198128149268488</v>
      </c>
      <c r="P16" s="40">
        <v>1073427</v>
      </c>
      <c r="Q16" s="39" t="s">
        <v>4</v>
      </c>
      <c r="R16" s="50">
        <f>+P16/P17</f>
        <v>0.79081094023390741</v>
      </c>
    </row>
    <row r="17" spans="1:18" s="64" customFormat="1" ht="25" x14ac:dyDescent="0.25">
      <c r="A17" s="54"/>
      <c r="B17" s="55"/>
      <c r="C17" s="56" t="s">
        <v>3</v>
      </c>
      <c r="D17" s="57"/>
      <c r="E17" s="58" t="s">
        <v>26</v>
      </c>
      <c r="F17" s="59"/>
      <c r="G17" s="162">
        <v>2576365</v>
      </c>
      <c r="H17" s="130"/>
      <c r="I17" s="131"/>
      <c r="J17" s="159">
        <v>2211692</v>
      </c>
      <c r="K17" s="130"/>
      <c r="L17" s="131"/>
      <c r="M17" s="61">
        <v>2101877</v>
      </c>
      <c r="N17" s="59"/>
      <c r="O17" s="65"/>
      <c r="P17" s="62">
        <v>1357375</v>
      </c>
      <c r="Q17" s="60"/>
      <c r="R17" s="66"/>
    </row>
    <row r="18" spans="1:18" ht="13" thickBot="1" x14ac:dyDescent="0.3">
      <c r="A18" s="14"/>
      <c r="B18" s="15"/>
      <c r="C18" s="16"/>
      <c r="D18" s="6"/>
      <c r="E18" s="25"/>
      <c r="F18" s="26"/>
      <c r="G18" s="141"/>
      <c r="H18" s="132"/>
      <c r="I18" s="133"/>
      <c r="J18" s="132"/>
      <c r="K18" s="132"/>
      <c r="L18" s="133"/>
      <c r="M18" s="27"/>
      <c r="N18" s="26"/>
      <c r="O18" s="16"/>
      <c r="P18" s="42"/>
      <c r="Q18" s="41"/>
      <c r="R18" s="43"/>
    </row>
    <row r="19" spans="1:18" ht="62.5" x14ac:dyDescent="0.25">
      <c r="A19" s="8" t="s">
        <v>9</v>
      </c>
      <c r="B19" s="17" t="s">
        <v>4</v>
      </c>
      <c r="C19" s="18" t="s">
        <v>10</v>
      </c>
      <c r="D19" s="7" t="s">
        <v>23</v>
      </c>
      <c r="E19" s="28" t="s">
        <v>51</v>
      </c>
      <c r="F19" s="29" t="s">
        <v>4</v>
      </c>
      <c r="G19" s="161">
        <f>1356421+401585+18394+12960</f>
        <v>1789360</v>
      </c>
      <c r="H19" s="104" t="s">
        <v>4</v>
      </c>
      <c r="I19" s="164">
        <f>G19/G20</f>
        <v>23.491971799550999</v>
      </c>
      <c r="J19" s="158">
        <f>1630756+254687+19674+12960</f>
        <v>1918077</v>
      </c>
      <c r="K19" s="104" t="s">
        <v>4</v>
      </c>
      <c r="L19" s="143">
        <f>+J19/J20</f>
        <v>26.555864761588303</v>
      </c>
      <c r="M19" s="30">
        <f>1412422+341850+15366+12960</f>
        <v>1782598</v>
      </c>
      <c r="N19" s="29" t="s">
        <v>4</v>
      </c>
      <c r="O19" s="46">
        <f>+M19/M20</f>
        <v>32.717825416636074</v>
      </c>
      <c r="P19" s="45">
        <f>1073427+62140+25017</f>
        <v>1160584</v>
      </c>
      <c r="Q19" s="44" t="s">
        <v>4</v>
      </c>
      <c r="R19" s="47">
        <f>+P19/P20</f>
        <v>33.62452196082976</v>
      </c>
    </row>
    <row r="20" spans="1:18" s="64" customFormat="1" ht="37.5" x14ac:dyDescent="0.25">
      <c r="A20" s="54"/>
      <c r="B20" s="55"/>
      <c r="C20" s="56" t="s">
        <v>11</v>
      </c>
      <c r="D20" s="57" t="s">
        <v>37</v>
      </c>
      <c r="E20" s="58" t="s">
        <v>11</v>
      </c>
      <c r="F20" s="59"/>
      <c r="G20" s="162">
        <v>76169</v>
      </c>
      <c r="H20" s="130"/>
      <c r="I20" s="131"/>
      <c r="J20" s="159">
        <v>72228</v>
      </c>
      <c r="K20" s="130"/>
      <c r="L20" s="131"/>
      <c r="M20" s="61">
        <v>54484</v>
      </c>
      <c r="N20" s="59"/>
      <c r="O20" s="56"/>
      <c r="P20" s="62">
        <v>34516</v>
      </c>
      <c r="Q20" s="60"/>
      <c r="R20" s="63"/>
    </row>
    <row r="21" spans="1:18" ht="13" thickBot="1" x14ac:dyDescent="0.3">
      <c r="A21" s="14"/>
      <c r="B21" s="15"/>
      <c r="C21" s="16"/>
      <c r="D21" s="6"/>
      <c r="E21" s="25"/>
      <c r="F21" s="26"/>
      <c r="G21" s="141"/>
      <c r="H21" s="132"/>
      <c r="I21" s="133"/>
      <c r="J21" s="132"/>
      <c r="K21" s="132"/>
      <c r="L21" s="133"/>
      <c r="M21" s="27"/>
      <c r="N21" s="26"/>
      <c r="O21" s="16"/>
      <c r="P21" s="42"/>
      <c r="Q21" s="41"/>
      <c r="R21" s="43"/>
    </row>
    <row r="22" spans="1:18" x14ac:dyDescent="0.25">
      <c r="A22" s="69"/>
      <c r="B22" s="69"/>
      <c r="C22" s="69"/>
      <c r="D22" s="72"/>
      <c r="E22" s="362" t="s">
        <v>66</v>
      </c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73"/>
      <c r="Q22" s="38"/>
      <c r="R22" s="100"/>
    </row>
    <row r="23" spans="1:18" ht="26.25" customHeight="1" x14ac:dyDescent="0.25">
      <c r="A23" s="69"/>
      <c r="B23" s="69"/>
      <c r="C23" s="69"/>
      <c r="D23" s="72"/>
      <c r="E23" s="351" t="s">
        <v>54</v>
      </c>
      <c r="F23" s="351"/>
      <c r="G23" s="351"/>
      <c r="H23" s="351"/>
      <c r="I23" s="351"/>
      <c r="J23" s="351"/>
      <c r="K23" s="351"/>
      <c r="L23" s="351"/>
      <c r="M23" s="351"/>
      <c r="N23" s="351"/>
      <c r="O23" s="351"/>
      <c r="P23" s="32"/>
      <c r="Q23" s="32"/>
      <c r="R23" s="32"/>
    </row>
    <row r="24" spans="1:18" s="69" customFormat="1" x14ac:dyDescent="0.25">
      <c r="D24" s="32"/>
      <c r="E24" s="351" t="s">
        <v>61</v>
      </c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1"/>
      <c r="Q24" s="32"/>
    </row>
    <row r="25" spans="1:18" ht="25.5" customHeight="1" x14ac:dyDescent="0.25"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</row>
  </sheetData>
  <mergeCells count="10">
    <mergeCell ref="E1:L1"/>
    <mergeCell ref="E24:O24"/>
    <mergeCell ref="E25:O25"/>
    <mergeCell ref="D1:D2"/>
    <mergeCell ref="P2:R2"/>
    <mergeCell ref="M2:O2"/>
    <mergeCell ref="J2:L2"/>
    <mergeCell ref="E23:O23"/>
    <mergeCell ref="E22:O22"/>
    <mergeCell ref="G2:I2"/>
  </mergeCells>
  <phoneticPr fontId="3" type="noConversion"/>
  <pageMargins left="0.31" right="0.22" top="0.69" bottom="0.23" header="0.5" footer="0.17"/>
  <pageSetup scale="60" fitToWidth="0" pageOrder="overThenDown" orientation="landscape" r:id="rId1"/>
  <headerFooter alignWithMargins="0">
    <oddHeader xml:space="preserve">&amp;C&amp;"Arial,Bold"&amp;12PATH Ventures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2"/>
  <sheetViews>
    <sheetView view="pageBreakPreview" topLeftCell="A9" zoomScale="85" zoomScaleNormal="75" zoomScaleSheetLayoutView="85" workbookViewId="0">
      <pane xSplit="3" topLeftCell="E1" activePane="topRight" state="frozen"/>
      <selection activeCell="F10" sqref="F10"/>
      <selection pane="topRight" activeCell="E17" sqref="E17"/>
    </sheetView>
  </sheetViews>
  <sheetFormatPr defaultRowHeight="12.5" x14ac:dyDescent="0.25"/>
  <cols>
    <col min="1" max="1" width="31" bestFit="1" customWidth="1"/>
    <col min="2" max="2" width="2.1796875" bestFit="1" customWidth="1"/>
    <col min="3" max="3" width="47.81640625" bestFit="1" customWidth="1"/>
    <col min="4" max="4" width="67.54296875" hidden="1" customWidth="1"/>
    <col min="5" max="5" width="15.1796875" style="128" bestFit="1" customWidth="1"/>
    <col min="6" max="6" width="2.54296875" style="128" bestFit="1" customWidth="1"/>
    <col min="7" max="7" width="12.54296875" style="128" customWidth="1"/>
    <col min="8" max="8" width="2.54296875" style="128" customWidth="1"/>
    <col min="9" max="9" width="9.1796875" style="128" customWidth="1"/>
    <col min="10" max="10" width="12.54296875" style="128" customWidth="1"/>
    <col min="11" max="11" width="2.54296875" style="128" customWidth="1"/>
    <col min="12" max="12" width="9.1796875" style="128" customWidth="1"/>
    <col min="13" max="13" width="12.54296875" style="128" customWidth="1"/>
    <col min="14" max="14" width="2.54296875" style="128" customWidth="1"/>
    <col min="15" max="15" width="9.1796875" style="128" customWidth="1"/>
    <col min="16" max="16" width="10.1796875" style="128" customWidth="1"/>
    <col min="17" max="17" width="2.54296875" style="128" customWidth="1"/>
    <col min="18" max="18" width="10.81640625" style="128" customWidth="1"/>
  </cols>
  <sheetData>
    <row r="1" spans="1:18" ht="13.5" customHeight="1" thickBot="1" x14ac:dyDescent="0.35">
      <c r="A1" s="8"/>
      <c r="B1" s="9"/>
      <c r="C1" s="10"/>
      <c r="D1" s="245" t="s">
        <v>25</v>
      </c>
      <c r="E1" s="371" t="s">
        <v>90</v>
      </c>
      <c r="F1" s="372"/>
      <c r="G1" s="372"/>
      <c r="H1" s="372"/>
      <c r="I1" s="372"/>
      <c r="J1" s="372"/>
      <c r="K1" s="372"/>
      <c r="L1" s="372"/>
      <c r="M1" s="372"/>
      <c r="N1" s="372"/>
      <c r="O1" s="373"/>
      <c r="P1" s="110"/>
      <c r="Q1" s="110"/>
      <c r="R1" s="111"/>
    </row>
    <row r="2" spans="1:18" s="1" customFormat="1" ht="13.5" customHeight="1" thickBot="1" x14ac:dyDescent="0.35">
      <c r="A2" s="33" t="s">
        <v>0</v>
      </c>
      <c r="B2" s="34"/>
      <c r="C2" s="35" t="s">
        <v>31</v>
      </c>
      <c r="D2" s="246"/>
      <c r="E2" s="93"/>
      <c r="F2" s="4"/>
      <c r="G2" s="365">
        <v>42004</v>
      </c>
      <c r="H2" s="366"/>
      <c r="I2" s="367"/>
      <c r="J2" s="365">
        <v>41639</v>
      </c>
      <c r="K2" s="366"/>
      <c r="L2" s="367"/>
      <c r="M2" s="365">
        <v>41274</v>
      </c>
      <c r="N2" s="366"/>
      <c r="O2" s="367"/>
      <c r="P2" s="368">
        <v>40908</v>
      </c>
      <c r="Q2" s="369"/>
      <c r="R2" s="370"/>
    </row>
    <row r="3" spans="1:18" ht="37.5" x14ac:dyDescent="0.25">
      <c r="A3" s="8" t="s">
        <v>7</v>
      </c>
      <c r="B3" s="17" t="s">
        <v>4</v>
      </c>
      <c r="C3" s="18" t="s">
        <v>8</v>
      </c>
      <c r="D3" s="7" t="s">
        <v>53</v>
      </c>
      <c r="E3" s="95" t="s">
        <v>88</v>
      </c>
      <c r="F3" s="109" t="s">
        <v>4</v>
      </c>
      <c r="G3" s="173">
        <f>+G4*I3</f>
        <v>377413.92</v>
      </c>
      <c r="H3" s="148" t="s">
        <v>4</v>
      </c>
      <c r="I3" s="172">
        <v>0.12</v>
      </c>
      <c r="J3" s="173">
        <f>+J4*L3</f>
        <v>389615.85000000003</v>
      </c>
      <c r="K3" s="148" t="s">
        <v>4</v>
      </c>
      <c r="L3" s="172">
        <v>0.13</v>
      </c>
      <c r="M3" s="171">
        <f>+M4*O3</f>
        <v>390944.54000000004</v>
      </c>
      <c r="N3" s="148" t="s">
        <v>4</v>
      </c>
      <c r="O3" s="172">
        <v>0.14000000000000001</v>
      </c>
      <c r="P3" s="168"/>
      <c r="Q3" s="109" t="s">
        <v>4</v>
      </c>
      <c r="R3" s="149">
        <f>P3/P4</f>
        <v>0</v>
      </c>
    </row>
    <row r="4" spans="1:18" s="64" customFormat="1" ht="25" x14ac:dyDescent="0.25">
      <c r="A4" s="54"/>
      <c r="B4" s="55"/>
      <c r="C4" s="56" t="s">
        <v>5</v>
      </c>
      <c r="D4" s="57" t="s">
        <v>38</v>
      </c>
      <c r="E4" s="96" t="s">
        <v>6</v>
      </c>
      <c r="F4" s="130"/>
      <c r="G4" s="156">
        <v>3145116</v>
      </c>
      <c r="H4" s="140"/>
      <c r="I4" s="127"/>
      <c r="J4" s="156">
        <v>2997045</v>
      </c>
      <c r="K4" s="140"/>
      <c r="L4" s="127"/>
      <c r="M4" s="156">
        <v>2792461</v>
      </c>
      <c r="N4" s="140"/>
      <c r="O4" s="127"/>
      <c r="P4" s="169">
        <v>2555979</v>
      </c>
      <c r="Q4" s="130"/>
      <c r="R4" s="131"/>
    </row>
    <row r="5" spans="1:18" ht="13" thickBot="1" x14ac:dyDescent="0.3">
      <c r="A5" s="14"/>
      <c r="B5" s="15"/>
      <c r="C5" s="16"/>
      <c r="D5" s="6"/>
      <c r="E5" s="146"/>
      <c r="F5" s="124"/>
      <c r="G5" s="146"/>
      <c r="H5" s="124"/>
      <c r="I5" s="125"/>
      <c r="J5" s="146"/>
      <c r="K5" s="124"/>
      <c r="L5" s="125"/>
      <c r="M5" s="146"/>
      <c r="N5" s="124"/>
      <c r="O5" s="125"/>
      <c r="P5" s="124"/>
      <c r="Q5" s="124"/>
      <c r="R5" s="125"/>
    </row>
    <row r="6" spans="1:18" ht="132.75" customHeight="1" x14ac:dyDescent="0.25">
      <c r="A6" s="8" t="s">
        <v>12</v>
      </c>
      <c r="B6" s="17" t="s">
        <v>4</v>
      </c>
      <c r="C6" s="18" t="s">
        <v>13</v>
      </c>
      <c r="D6" s="7" t="s">
        <v>33</v>
      </c>
      <c r="E6" s="122" t="s">
        <v>52</v>
      </c>
      <c r="F6" s="109" t="s">
        <v>4</v>
      </c>
      <c r="G6" s="173">
        <v>1101482</v>
      </c>
      <c r="H6" s="109" t="s">
        <v>4</v>
      </c>
      <c r="I6" s="172">
        <f>+G6/G7</f>
        <v>2.6339586546624103</v>
      </c>
      <c r="J6" s="173">
        <v>930462</v>
      </c>
      <c r="K6" s="109" t="s">
        <v>4</v>
      </c>
      <c r="L6" s="172">
        <f>+J6/J7</f>
        <v>2.2521330180299022</v>
      </c>
      <c r="M6" s="173">
        <v>876172</v>
      </c>
      <c r="N6" s="109" t="s">
        <v>4</v>
      </c>
      <c r="O6" s="172">
        <f>+M6/M7</f>
        <v>2.3205797132157029</v>
      </c>
      <c r="P6" s="168">
        <v>777298</v>
      </c>
      <c r="Q6" s="109" t="s">
        <v>4</v>
      </c>
      <c r="R6" s="150">
        <f>P6/P7</f>
        <v>2.1023736625158227</v>
      </c>
    </row>
    <row r="7" spans="1:18" s="64" customFormat="1" ht="117" customHeight="1" x14ac:dyDescent="0.25">
      <c r="A7" s="54"/>
      <c r="B7" s="55"/>
      <c r="C7" s="56" t="s">
        <v>14</v>
      </c>
      <c r="D7" s="57" t="s">
        <v>34</v>
      </c>
      <c r="E7" s="121" t="s">
        <v>49</v>
      </c>
      <c r="F7" s="126"/>
      <c r="G7" s="174">
        <v>418185</v>
      </c>
      <c r="H7" s="126"/>
      <c r="I7" s="127"/>
      <c r="J7" s="174">
        <v>413147</v>
      </c>
      <c r="K7" s="126"/>
      <c r="L7" s="127"/>
      <c r="M7" s="174">
        <v>377566</v>
      </c>
      <c r="N7" s="126"/>
      <c r="O7" s="127"/>
      <c r="P7" s="167">
        <v>369724</v>
      </c>
      <c r="Q7" s="126"/>
      <c r="R7" s="127"/>
    </row>
    <row r="8" spans="1:18" ht="13" thickBot="1" x14ac:dyDescent="0.3">
      <c r="A8" s="14"/>
      <c r="B8" s="15"/>
      <c r="C8" s="16"/>
      <c r="D8" s="6"/>
      <c r="E8" s="146"/>
      <c r="F8" s="124"/>
      <c r="G8" s="146"/>
      <c r="H8" s="124"/>
      <c r="I8" s="125"/>
      <c r="J8" s="146"/>
      <c r="K8" s="124"/>
      <c r="L8" s="125"/>
      <c r="M8" s="146"/>
      <c r="N8" s="124"/>
      <c r="O8" s="125"/>
      <c r="P8" s="124"/>
      <c r="Q8" s="124"/>
      <c r="R8" s="125"/>
    </row>
    <row r="9" spans="1:18" ht="25" x14ac:dyDescent="0.25">
      <c r="A9" s="8" t="s">
        <v>15</v>
      </c>
      <c r="B9" s="17" t="s">
        <v>4</v>
      </c>
      <c r="C9" s="18" t="s">
        <v>16</v>
      </c>
      <c r="D9" s="7" t="s">
        <v>24</v>
      </c>
      <c r="E9" s="123" t="s">
        <v>47</v>
      </c>
      <c r="F9" s="109" t="s">
        <v>4</v>
      </c>
      <c r="G9" s="173">
        <v>1967815</v>
      </c>
      <c r="H9" s="109" t="s">
        <v>4</v>
      </c>
      <c r="I9" s="172">
        <f>+G9/G10</f>
        <v>1.1955968977176412</v>
      </c>
      <c r="J9" s="173">
        <v>1894257</v>
      </c>
      <c r="K9" s="109" t="s">
        <v>4</v>
      </c>
      <c r="L9" s="172">
        <f>+J9/J10</f>
        <v>1.2466416319181197</v>
      </c>
      <c r="M9" s="173">
        <v>1740682</v>
      </c>
      <c r="N9" s="109" t="s">
        <v>4</v>
      </c>
      <c r="O9" s="172">
        <f>+M9/M10</f>
        <v>1.1857684515708</v>
      </c>
      <c r="P9" s="168">
        <v>1710627</v>
      </c>
      <c r="Q9" s="109" t="s">
        <v>4</v>
      </c>
      <c r="R9" s="150">
        <f>P9/P10</f>
        <v>1.2939357081587917</v>
      </c>
    </row>
    <row r="10" spans="1:18" s="64" customFormat="1" ht="100" x14ac:dyDescent="0.25">
      <c r="A10" s="54"/>
      <c r="B10" s="55"/>
      <c r="C10" s="56" t="s">
        <v>17</v>
      </c>
      <c r="D10" s="57" t="s">
        <v>40</v>
      </c>
      <c r="E10" s="121" t="s">
        <v>48</v>
      </c>
      <c r="F10" s="126"/>
      <c r="G10" s="174">
        <v>1645885</v>
      </c>
      <c r="H10" s="126"/>
      <c r="I10" s="127"/>
      <c r="J10" s="174">
        <v>1519488</v>
      </c>
      <c r="K10" s="126"/>
      <c r="L10" s="127"/>
      <c r="M10" s="174">
        <v>1467978</v>
      </c>
      <c r="N10" s="126"/>
      <c r="O10" s="127"/>
      <c r="P10" s="167">
        <v>1322034</v>
      </c>
      <c r="Q10" s="126"/>
      <c r="R10" s="127"/>
    </row>
    <row r="11" spans="1:18" ht="13" thickBot="1" x14ac:dyDescent="0.3">
      <c r="A11" s="14"/>
      <c r="B11" s="15"/>
      <c r="C11" s="16"/>
      <c r="D11" s="6"/>
      <c r="E11" s="146"/>
      <c r="F11" s="124"/>
      <c r="G11" s="146"/>
      <c r="H11" s="124"/>
      <c r="I11" s="125"/>
      <c r="J11" s="146"/>
      <c r="K11" s="124"/>
      <c r="L11" s="125"/>
      <c r="M11" s="146"/>
      <c r="N11" s="124"/>
      <c r="O11" s="125"/>
      <c r="P11" s="124"/>
      <c r="Q11" s="124"/>
      <c r="R11" s="125"/>
    </row>
    <row r="12" spans="1:18" ht="125" x14ac:dyDescent="0.25">
      <c r="A12" s="8" t="s">
        <v>18</v>
      </c>
      <c r="B12" s="17" t="s">
        <v>4</v>
      </c>
      <c r="C12" s="18" t="s">
        <v>19</v>
      </c>
      <c r="D12" s="7" t="s">
        <v>22</v>
      </c>
      <c r="E12" s="97" t="s">
        <v>95</v>
      </c>
      <c r="F12" s="109" t="s">
        <v>4</v>
      </c>
      <c r="G12" s="173">
        <f>293934+93113+440374+142355+27790</f>
        <v>997566</v>
      </c>
      <c r="H12" s="109" t="s">
        <v>4</v>
      </c>
      <c r="I12" s="172">
        <f>+G12/G13</f>
        <v>3.80615277783077</v>
      </c>
      <c r="J12" s="173">
        <f>356370+26914+384931+33481+28229</f>
        <v>829925</v>
      </c>
      <c r="K12" s="109" t="s">
        <v>4</v>
      </c>
      <c r="L12" s="172">
        <f>+J12/J13</f>
        <v>3.3229731285316038</v>
      </c>
      <c r="M12" s="173">
        <f>311257+27489+362346+31977+30893</f>
        <v>763962</v>
      </c>
      <c r="N12" s="109" t="s">
        <v>4</v>
      </c>
      <c r="O12" s="172">
        <f>+M12/M13</f>
        <v>3.2829622329550885</v>
      </c>
      <c r="P12" s="168">
        <f>250119+45393+357638+7957+27280</f>
        <v>688387</v>
      </c>
      <c r="Q12" s="109" t="s">
        <v>4</v>
      </c>
      <c r="R12" s="150">
        <f>P12/P13</f>
        <v>3.2318904028554227</v>
      </c>
    </row>
    <row r="13" spans="1:18" s="64" customFormat="1" ht="25" x14ac:dyDescent="0.25">
      <c r="A13" s="54"/>
      <c r="B13" s="55"/>
      <c r="C13" s="56" t="s">
        <v>20</v>
      </c>
      <c r="D13" s="57"/>
      <c r="E13" s="121" t="s">
        <v>21</v>
      </c>
      <c r="F13" s="126"/>
      <c r="G13" s="174">
        <f>G4/12</f>
        <v>262093</v>
      </c>
      <c r="H13" s="126"/>
      <c r="I13" s="151" t="s">
        <v>32</v>
      </c>
      <c r="J13" s="174">
        <f>2997045/12</f>
        <v>249753.75</v>
      </c>
      <c r="K13" s="126"/>
      <c r="L13" s="151" t="s">
        <v>32</v>
      </c>
      <c r="M13" s="174">
        <f>2792461/12</f>
        <v>232705.08333333334</v>
      </c>
      <c r="N13" s="126"/>
      <c r="O13" s="151" t="s">
        <v>32</v>
      </c>
      <c r="P13" s="167">
        <f>2555979/12</f>
        <v>212998.25</v>
      </c>
      <c r="Q13" s="126"/>
      <c r="R13" s="151" t="s">
        <v>32</v>
      </c>
    </row>
    <row r="14" spans="1:18" ht="13" thickBot="1" x14ac:dyDescent="0.3">
      <c r="A14" s="14"/>
      <c r="B14" s="15"/>
      <c r="C14" s="16"/>
      <c r="D14" s="6"/>
      <c r="E14" s="146"/>
      <c r="F14" s="124"/>
      <c r="G14" s="146"/>
      <c r="H14" s="124"/>
      <c r="I14" s="125"/>
      <c r="J14" s="146"/>
      <c r="K14" s="124"/>
      <c r="L14" s="125"/>
      <c r="M14" s="146"/>
      <c r="N14" s="124"/>
      <c r="O14" s="125"/>
      <c r="P14" s="124"/>
      <c r="Q14" s="124"/>
      <c r="R14" s="125"/>
    </row>
    <row r="15" spans="1:18" x14ac:dyDescent="0.25">
      <c r="A15" s="8"/>
      <c r="B15" s="9"/>
      <c r="C15" s="10"/>
      <c r="D15" s="7"/>
      <c r="E15" s="147"/>
      <c r="F15" s="145"/>
      <c r="G15" s="147"/>
      <c r="H15" s="145"/>
      <c r="I15" s="152"/>
      <c r="J15" s="147"/>
      <c r="K15" s="145"/>
      <c r="L15" s="152"/>
      <c r="M15" s="147"/>
      <c r="N15" s="145"/>
      <c r="O15" s="152"/>
      <c r="P15" s="145"/>
      <c r="Q15" s="145"/>
      <c r="R15" s="152"/>
    </row>
    <row r="16" spans="1:18" ht="37.5" x14ac:dyDescent="0.25">
      <c r="A16" s="11" t="s">
        <v>1</v>
      </c>
      <c r="B16" s="12" t="s">
        <v>4</v>
      </c>
      <c r="C16" s="13" t="s">
        <v>2</v>
      </c>
      <c r="D16" s="5" t="s">
        <v>35</v>
      </c>
      <c r="E16" s="97" t="s">
        <v>96</v>
      </c>
      <c r="F16" s="109" t="s">
        <v>4</v>
      </c>
      <c r="G16" s="173">
        <v>3105796</v>
      </c>
      <c r="H16" s="109" t="s">
        <v>4</v>
      </c>
      <c r="I16" s="172">
        <f>+G16/G17</f>
        <v>0.95186221425784656</v>
      </c>
      <c r="J16" s="173">
        <v>2932268</v>
      </c>
      <c r="K16" s="109" t="s">
        <v>4</v>
      </c>
      <c r="L16" s="172">
        <f>+J16/J17</f>
        <v>0.96073816740544782</v>
      </c>
      <c r="M16" s="173">
        <v>2859781</v>
      </c>
      <c r="N16" s="109" t="s">
        <v>4</v>
      </c>
      <c r="O16" s="172">
        <f>+M16/M17</f>
        <v>0.9775197672367707</v>
      </c>
      <c r="P16" s="170">
        <v>2598941</v>
      </c>
      <c r="Q16" s="109" t="s">
        <v>4</v>
      </c>
      <c r="R16" s="150">
        <f>P16/P17</f>
        <v>0.97950935982201848</v>
      </c>
    </row>
    <row r="17" spans="1:18" s="64" customFormat="1" ht="37.5" x14ac:dyDescent="0.25">
      <c r="A17" s="54"/>
      <c r="B17" s="55"/>
      <c r="C17" s="56" t="s">
        <v>3</v>
      </c>
      <c r="D17" s="57"/>
      <c r="E17" s="121" t="s">
        <v>65</v>
      </c>
      <c r="F17" s="126"/>
      <c r="G17" s="174">
        <v>3262863</v>
      </c>
      <c r="H17" s="126"/>
      <c r="I17" s="127"/>
      <c r="J17" s="174">
        <v>3052099</v>
      </c>
      <c r="K17" s="126"/>
      <c r="L17" s="127"/>
      <c r="M17" s="174">
        <v>2925548</v>
      </c>
      <c r="N17" s="126"/>
      <c r="O17" s="127"/>
      <c r="P17" s="167">
        <v>2653309</v>
      </c>
      <c r="Q17" s="126"/>
      <c r="R17" s="127"/>
    </row>
    <row r="18" spans="1:18" ht="13" thickBot="1" x14ac:dyDescent="0.3">
      <c r="A18" s="14"/>
      <c r="B18" s="15"/>
      <c r="C18" s="16"/>
      <c r="D18" s="6"/>
      <c r="E18" s="146"/>
      <c r="F18" s="124"/>
      <c r="G18" s="146"/>
      <c r="H18" s="124"/>
      <c r="I18" s="125"/>
      <c r="J18" s="146"/>
      <c r="K18" s="124"/>
      <c r="L18" s="125"/>
      <c r="M18" s="146"/>
      <c r="N18" s="124"/>
      <c r="O18" s="125"/>
      <c r="P18" s="124"/>
      <c r="Q18" s="124"/>
      <c r="R18" s="125"/>
    </row>
    <row r="19" spans="1:18" ht="25" x14ac:dyDescent="0.25">
      <c r="A19" s="8" t="s">
        <v>9</v>
      </c>
      <c r="B19" s="17" t="s">
        <v>4</v>
      </c>
      <c r="C19" s="18" t="s">
        <v>10</v>
      </c>
      <c r="D19" s="7" t="s">
        <v>23</v>
      </c>
      <c r="E19" s="122" t="s">
        <v>77</v>
      </c>
      <c r="F19" s="109" t="s">
        <v>4</v>
      </c>
      <c r="G19" s="173"/>
      <c r="H19" s="109" t="s">
        <v>4</v>
      </c>
      <c r="I19" s="175" t="e">
        <f>+G19/G20</f>
        <v>#DIV/0!</v>
      </c>
      <c r="J19" s="173"/>
      <c r="K19" s="109" t="s">
        <v>4</v>
      </c>
      <c r="L19" s="175" t="e">
        <f>+J19/J20</f>
        <v>#DIV/0!</v>
      </c>
      <c r="M19" s="173"/>
      <c r="N19" s="109" t="s">
        <v>4</v>
      </c>
      <c r="O19" s="175" t="e">
        <f>+M19/M20</f>
        <v>#DIV/0!</v>
      </c>
      <c r="P19" s="168"/>
      <c r="Q19" s="109" t="s">
        <v>4</v>
      </c>
      <c r="R19" s="153" t="e">
        <f>P19/P20</f>
        <v>#DIV/0!</v>
      </c>
    </row>
    <row r="20" spans="1:18" s="64" customFormat="1" ht="37.5" x14ac:dyDescent="0.25">
      <c r="A20" s="54"/>
      <c r="B20" s="55"/>
      <c r="C20" s="56" t="s">
        <v>11</v>
      </c>
      <c r="D20" s="57" t="s">
        <v>37</v>
      </c>
      <c r="E20" s="121" t="s">
        <v>77</v>
      </c>
      <c r="F20" s="126"/>
      <c r="G20" s="174"/>
      <c r="H20" s="126"/>
      <c r="I20" s="127"/>
      <c r="J20" s="174"/>
      <c r="K20" s="126"/>
      <c r="L20" s="127"/>
      <c r="M20" s="174"/>
      <c r="N20" s="126"/>
      <c r="O20" s="127"/>
      <c r="P20" s="167"/>
      <c r="Q20" s="126"/>
      <c r="R20" s="127"/>
    </row>
    <row r="21" spans="1:18" ht="13" thickBot="1" x14ac:dyDescent="0.3">
      <c r="A21" s="14"/>
      <c r="B21" s="15"/>
      <c r="C21" s="16"/>
      <c r="D21" s="6"/>
      <c r="E21" s="146"/>
      <c r="F21" s="124"/>
      <c r="G21" s="146"/>
      <c r="H21" s="124"/>
      <c r="I21" s="125"/>
      <c r="J21" s="146"/>
      <c r="K21" s="124"/>
      <c r="L21" s="125"/>
      <c r="M21" s="146"/>
      <c r="N21" s="124"/>
      <c r="O21" s="125"/>
      <c r="P21" s="124"/>
      <c r="Q21" s="124"/>
      <c r="R21" s="125"/>
    </row>
    <row r="22" spans="1:18" ht="27.75" customHeight="1" x14ac:dyDescent="0.25">
      <c r="A22" s="69"/>
      <c r="B22" s="69"/>
      <c r="C22" s="69"/>
      <c r="D22" s="72"/>
      <c r="E22" s="374" t="s">
        <v>89</v>
      </c>
      <c r="F22" s="375"/>
      <c r="G22" s="375"/>
      <c r="H22" s="375"/>
      <c r="I22" s="375"/>
      <c r="J22" s="375"/>
      <c r="K22" s="375"/>
      <c r="L22" s="375"/>
      <c r="M22" s="375"/>
      <c r="N22" s="375"/>
      <c r="O22" s="375"/>
      <c r="P22" s="181"/>
      <c r="Q22" s="181"/>
      <c r="R22" s="181"/>
    </row>
  </sheetData>
  <mergeCells count="6">
    <mergeCell ref="M2:O2"/>
    <mergeCell ref="P2:R2"/>
    <mergeCell ref="J2:L2"/>
    <mergeCell ref="E1:O1"/>
    <mergeCell ref="E22:O22"/>
    <mergeCell ref="G2:I2"/>
  </mergeCells>
  <phoneticPr fontId="3" type="noConversion"/>
  <pageMargins left="0.28000000000000003" right="0.3" top="0.75" bottom="0.75" header="0.5" footer="0.5"/>
  <pageSetup scale="55" orientation="landscape" r:id="rId1"/>
  <headerFooter alignWithMargins="0">
    <oddHeader>&amp;C&amp;"Arial,Bold"&amp;12Adventist Health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4"/>
  <sheetViews>
    <sheetView view="pageBreakPreview" topLeftCell="A7" zoomScale="90" zoomScaleNormal="75" zoomScaleSheetLayoutView="90" workbookViewId="0">
      <selection activeCell="E21" sqref="E21"/>
    </sheetView>
  </sheetViews>
  <sheetFormatPr defaultRowHeight="12.5" x14ac:dyDescent="0.25"/>
  <cols>
    <col min="1" max="1" width="16.7265625" customWidth="1"/>
    <col min="2" max="2" width="2.1796875" bestFit="1" customWidth="1"/>
    <col min="3" max="3" width="37.453125" bestFit="1" customWidth="1"/>
    <col min="4" max="4" width="67.54296875" hidden="1" customWidth="1"/>
    <col min="5" max="5" width="22.26953125" customWidth="1"/>
    <col min="6" max="6" width="3.26953125" customWidth="1"/>
    <col min="7" max="7" width="11.26953125" customWidth="1"/>
    <col min="8" max="8" width="2.7265625" customWidth="1"/>
    <col min="9" max="10" width="11.26953125" customWidth="1"/>
    <col min="11" max="11" width="2.7265625" customWidth="1"/>
    <col min="12" max="12" width="11.26953125" customWidth="1"/>
  </cols>
  <sheetData>
    <row r="1" spans="1:12" ht="13.5" customHeight="1" thickBot="1" x14ac:dyDescent="0.35">
      <c r="A1" s="8"/>
      <c r="B1" s="9"/>
      <c r="C1" s="10"/>
      <c r="D1" s="354" t="s">
        <v>25</v>
      </c>
      <c r="E1" s="378" t="s">
        <v>91</v>
      </c>
      <c r="F1" s="379"/>
      <c r="G1" s="379"/>
      <c r="H1" s="379"/>
      <c r="I1" s="379"/>
      <c r="J1" s="379"/>
      <c r="K1" s="379"/>
      <c r="L1" s="379"/>
    </row>
    <row r="2" spans="1:12" s="1" customFormat="1" ht="13.5" customHeight="1" thickBot="1" x14ac:dyDescent="0.35">
      <c r="A2" s="33" t="s">
        <v>0</v>
      </c>
      <c r="B2" s="34"/>
      <c r="C2" s="35" t="s">
        <v>31</v>
      </c>
      <c r="D2" s="355"/>
      <c r="E2" s="94"/>
      <c r="F2" s="255"/>
      <c r="G2" s="364">
        <v>42124</v>
      </c>
      <c r="H2" s="360"/>
      <c r="I2" s="360"/>
      <c r="J2" s="364">
        <v>41759</v>
      </c>
      <c r="K2" s="360"/>
      <c r="L2" s="360"/>
    </row>
    <row r="3" spans="1:12" ht="37.5" x14ac:dyDescent="0.25">
      <c r="A3" s="8" t="s">
        <v>7</v>
      </c>
      <c r="B3" s="17" t="s">
        <v>4</v>
      </c>
      <c r="C3" s="18" t="s">
        <v>8</v>
      </c>
      <c r="D3" s="7" t="s">
        <v>53</v>
      </c>
      <c r="E3" s="76" t="s">
        <v>97</v>
      </c>
      <c r="F3" s="77" t="s">
        <v>4</v>
      </c>
      <c r="G3" s="176">
        <f>250-25+13458+4797+110+1960.2+1386.31+6526.04+765.65+377.19+4306.59+11668.34</f>
        <v>45580.320000000007</v>
      </c>
      <c r="H3" s="108" t="s">
        <v>84</v>
      </c>
      <c r="I3" s="77">
        <f>G3/G4</f>
        <v>0.21926499311278005</v>
      </c>
      <c r="J3" s="176">
        <f>99-125+13499+24434.75+4894+4152.16+2301.63+629.68+4825.14+377.19+4767.19+14823.54</f>
        <v>74678.28</v>
      </c>
      <c r="K3" s="101" t="s">
        <v>4</v>
      </c>
      <c r="L3" s="77">
        <f>J3/J4</f>
        <v>0.47767972793888219</v>
      </c>
    </row>
    <row r="4" spans="1:12" s="64" customFormat="1" ht="25" x14ac:dyDescent="0.25">
      <c r="A4" s="54"/>
      <c r="B4" s="55"/>
      <c r="C4" s="56" t="s">
        <v>5</v>
      </c>
      <c r="D4" s="57" t="s">
        <v>38</v>
      </c>
      <c r="E4" s="260" t="s">
        <v>83</v>
      </c>
      <c r="F4" s="79"/>
      <c r="G4" s="177">
        <v>207877.78</v>
      </c>
      <c r="H4" s="79"/>
      <c r="I4" s="79"/>
      <c r="J4" s="177">
        <v>156335.46</v>
      </c>
      <c r="K4" s="79"/>
      <c r="L4" s="79"/>
    </row>
    <row r="5" spans="1:12" ht="13" thickBot="1" x14ac:dyDescent="0.3">
      <c r="A5" s="14"/>
      <c r="B5" s="15"/>
      <c r="C5" s="16"/>
      <c r="D5" s="6"/>
      <c r="E5" s="80"/>
      <c r="F5" s="81"/>
      <c r="G5" s="80"/>
      <c r="H5" s="81"/>
      <c r="I5" s="81"/>
      <c r="J5" s="80"/>
      <c r="K5" s="81"/>
      <c r="L5" s="81"/>
    </row>
    <row r="6" spans="1:12" ht="132.75" customHeight="1" x14ac:dyDescent="0.25">
      <c r="A6" s="8" t="s">
        <v>12</v>
      </c>
      <c r="B6" s="17" t="s">
        <v>4</v>
      </c>
      <c r="C6" s="18" t="s">
        <v>13</v>
      </c>
      <c r="D6" s="7" t="s">
        <v>33</v>
      </c>
      <c r="E6" s="118" t="s">
        <v>70</v>
      </c>
      <c r="F6" s="77" t="s">
        <v>4</v>
      </c>
      <c r="G6" s="176">
        <v>88290.69</v>
      </c>
      <c r="H6" s="101" t="s">
        <v>4</v>
      </c>
      <c r="I6" s="77">
        <f>G6/G7</f>
        <v>22.069913760779905</v>
      </c>
      <c r="J6" s="176">
        <v>81722.48</v>
      </c>
      <c r="K6" s="101" t="s">
        <v>4</v>
      </c>
      <c r="L6" s="77">
        <f>J6/J7</f>
        <v>23.34594486501928</v>
      </c>
    </row>
    <row r="7" spans="1:12" s="64" customFormat="1" ht="117" customHeight="1" x14ac:dyDescent="0.25">
      <c r="A7" s="54"/>
      <c r="B7" s="55"/>
      <c r="C7" s="56" t="s">
        <v>14</v>
      </c>
      <c r="D7" s="57" t="s">
        <v>34</v>
      </c>
      <c r="E7" s="119" t="s">
        <v>69</v>
      </c>
      <c r="F7" s="79"/>
      <c r="G7" s="177">
        <v>4000.5</v>
      </c>
      <c r="H7" s="257"/>
      <c r="I7" s="257"/>
      <c r="J7" s="177">
        <v>3500.5</v>
      </c>
      <c r="K7" s="79"/>
      <c r="L7" s="257"/>
    </row>
    <row r="8" spans="1:12" ht="13" thickBot="1" x14ac:dyDescent="0.3">
      <c r="A8" s="14"/>
      <c r="B8" s="15"/>
      <c r="C8" s="16"/>
      <c r="D8" s="6"/>
      <c r="E8" s="80"/>
      <c r="F8" s="81"/>
      <c r="G8" s="80"/>
      <c r="H8" s="81"/>
      <c r="I8" s="81"/>
      <c r="J8" s="80"/>
      <c r="K8" s="81"/>
      <c r="L8" s="81"/>
    </row>
    <row r="9" spans="1:12" ht="25" x14ac:dyDescent="0.25">
      <c r="A9" s="8" t="s">
        <v>15</v>
      </c>
      <c r="B9" s="17" t="s">
        <v>4</v>
      </c>
      <c r="C9" s="18" t="s">
        <v>16</v>
      </c>
      <c r="D9" s="7" t="s">
        <v>24</v>
      </c>
      <c r="E9" s="258" t="s">
        <v>47</v>
      </c>
      <c r="F9" s="82" t="s">
        <v>4</v>
      </c>
      <c r="G9" s="178">
        <v>4000.5</v>
      </c>
      <c r="H9" s="102" t="s">
        <v>4</v>
      </c>
      <c r="I9" s="82">
        <f>G9/G10</f>
        <v>7.50970616146377E-3</v>
      </c>
      <c r="J9" s="178">
        <v>3500.5</v>
      </c>
      <c r="K9" s="102" t="s">
        <v>4</v>
      </c>
      <c r="L9" s="82">
        <f>J9/J10</f>
        <v>6.4812026238529954E-3</v>
      </c>
    </row>
    <row r="10" spans="1:12" s="64" customFormat="1" ht="100" x14ac:dyDescent="0.25">
      <c r="A10" s="54"/>
      <c r="B10" s="55"/>
      <c r="C10" s="56" t="s">
        <v>17</v>
      </c>
      <c r="D10" s="57" t="s">
        <v>40</v>
      </c>
      <c r="E10" s="119" t="s">
        <v>81</v>
      </c>
      <c r="F10" s="79"/>
      <c r="G10" s="177">
        <f>536711.09-4000.5</f>
        <v>532710.59</v>
      </c>
      <c r="H10" s="257"/>
      <c r="I10" s="257"/>
      <c r="J10" s="177">
        <f>543600.88-3500.5</f>
        <v>540100.38</v>
      </c>
      <c r="K10" s="79"/>
      <c r="L10" s="79"/>
    </row>
    <row r="11" spans="1:12" ht="13" thickBot="1" x14ac:dyDescent="0.3">
      <c r="A11" s="14"/>
      <c r="B11" s="15"/>
      <c r="C11" s="16"/>
      <c r="D11" s="6"/>
      <c r="E11" s="80"/>
      <c r="F11" s="81"/>
      <c r="G11" s="80"/>
      <c r="H11" s="81"/>
      <c r="I11" s="81"/>
      <c r="J11" s="80"/>
      <c r="K11" s="81"/>
      <c r="L11" s="81"/>
    </row>
    <row r="12" spans="1:12" ht="25" x14ac:dyDescent="0.25">
      <c r="A12" s="8" t="s">
        <v>18</v>
      </c>
      <c r="B12" s="17" t="s">
        <v>4</v>
      </c>
      <c r="C12" s="18" t="s">
        <v>19</v>
      </c>
      <c r="D12" s="7" t="s">
        <v>22</v>
      </c>
      <c r="E12" s="118" t="s">
        <v>82</v>
      </c>
      <c r="F12" s="77" t="s">
        <v>4</v>
      </c>
      <c r="G12" s="176">
        <f>19000+68290.69</f>
        <v>87290.69</v>
      </c>
      <c r="H12" s="101" t="s">
        <v>4</v>
      </c>
      <c r="I12" s="77">
        <f>G12/G13</f>
        <v>5.0389622209742662</v>
      </c>
      <c r="J12" s="176">
        <f>19000+62722.48</f>
        <v>81722.48000000001</v>
      </c>
      <c r="K12" s="101" t="s">
        <v>4</v>
      </c>
      <c r="L12" s="77">
        <f>J12/J13</f>
        <v>6.2728555632867948</v>
      </c>
    </row>
    <row r="13" spans="1:12" s="64" customFormat="1" x14ac:dyDescent="0.25">
      <c r="A13" s="54"/>
      <c r="B13" s="55"/>
      <c r="C13" s="56" t="s">
        <v>20</v>
      </c>
      <c r="D13" s="57"/>
      <c r="E13" s="154" t="s">
        <v>21</v>
      </c>
      <c r="F13" s="83"/>
      <c r="G13" s="179">
        <f>207877.78/12</f>
        <v>17323.148333333334</v>
      </c>
      <c r="H13" s="83"/>
      <c r="I13" s="117" t="s">
        <v>32</v>
      </c>
      <c r="J13" s="179">
        <f>156335.46/12</f>
        <v>13027.955</v>
      </c>
      <c r="K13" s="83"/>
      <c r="L13" s="117" t="s">
        <v>32</v>
      </c>
    </row>
    <row r="14" spans="1:12" ht="13" thickBot="1" x14ac:dyDescent="0.3">
      <c r="A14" s="14"/>
      <c r="B14" s="15"/>
      <c r="C14" s="16"/>
      <c r="D14" s="6"/>
      <c r="E14" s="80"/>
      <c r="F14" s="81"/>
      <c r="G14" s="80"/>
      <c r="H14" s="81"/>
      <c r="I14" s="81"/>
      <c r="J14" s="80"/>
      <c r="K14" s="81"/>
      <c r="L14" s="81"/>
    </row>
    <row r="15" spans="1:12" x14ac:dyDescent="0.25">
      <c r="A15" s="8"/>
      <c r="B15" s="9"/>
      <c r="C15" s="10"/>
      <c r="D15" s="7"/>
      <c r="E15" s="84"/>
      <c r="F15" s="78"/>
      <c r="G15" s="84"/>
      <c r="H15" s="78"/>
      <c r="I15" s="78"/>
      <c r="J15" s="84"/>
      <c r="K15" s="78"/>
      <c r="L15" s="78"/>
    </row>
    <row r="16" spans="1:12" ht="37.5" x14ac:dyDescent="0.25">
      <c r="A16" s="11" t="s">
        <v>1</v>
      </c>
      <c r="B16" s="12" t="s">
        <v>4</v>
      </c>
      <c r="C16" s="13" t="s">
        <v>2</v>
      </c>
      <c r="D16" s="5" t="s">
        <v>35</v>
      </c>
      <c r="E16" s="120" t="s">
        <v>85</v>
      </c>
      <c r="F16" s="82" t="s">
        <v>4</v>
      </c>
      <c r="G16" s="178">
        <v>42472.77</v>
      </c>
      <c r="H16" s="102" t="s">
        <v>4</v>
      </c>
      <c r="I16" s="82">
        <f>G16/G17</f>
        <v>0.21189980003291792</v>
      </c>
      <c r="J16" s="178">
        <v>70232.14</v>
      </c>
      <c r="K16" s="102" t="s">
        <v>4</v>
      </c>
      <c r="L16" s="82">
        <f>J16/J17</f>
        <v>0.41427524332841342</v>
      </c>
    </row>
    <row r="17" spans="1:12" s="64" customFormat="1" x14ac:dyDescent="0.25">
      <c r="A17" s="54"/>
      <c r="B17" s="55"/>
      <c r="C17" s="56" t="s">
        <v>3</v>
      </c>
      <c r="D17" s="57"/>
      <c r="E17" s="259" t="s">
        <v>98</v>
      </c>
      <c r="F17" s="79"/>
      <c r="G17" s="177">
        <v>200437.99</v>
      </c>
      <c r="H17" s="79"/>
      <c r="I17" s="79"/>
      <c r="J17" s="177">
        <v>169530.14</v>
      </c>
      <c r="K17" s="79"/>
      <c r="L17" s="257" t="s">
        <v>80</v>
      </c>
    </row>
    <row r="18" spans="1:12" ht="13" thickBot="1" x14ac:dyDescent="0.3">
      <c r="A18" s="14"/>
      <c r="B18" s="15"/>
      <c r="C18" s="16"/>
      <c r="D18" s="6"/>
      <c r="E18" s="14"/>
      <c r="F18" s="15"/>
      <c r="G18" s="14"/>
      <c r="H18" s="15"/>
      <c r="I18" s="15"/>
      <c r="J18" s="14"/>
      <c r="K18" s="15"/>
      <c r="L18" s="15"/>
    </row>
    <row r="19" spans="1:12" ht="25" x14ac:dyDescent="0.25">
      <c r="A19" s="8" t="s">
        <v>9</v>
      </c>
      <c r="B19" s="17" t="s">
        <v>4</v>
      </c>
      <c r="C19" s="18" t="s">
        <v>10</v>
      </c>
      <c r="D19" s="7" t="s">
        <v>23</v>
      </c>
      <c r="E19" s="120" t="s">
        <v>79</v>
      </c>
      <c r="F19" s="85" t="s">
        <v>4</v>
      </c>
      <c r="G19" s="180">
        <v>10660.22</v>
      </c>
      <c r="H19" s="103" t="s">
        <v>4</v>
      </c>
      <c r="I19" s="85" t="e">
        <f>G19/G20</f>
        <v>#DIV/0!</v>
      </c>
      <c r="J19" s="180">
        <v>16014</v>
      </c>
      <c r="K19" s="103" t="s">
        <v>4</v>
      </c>
      <c r="L19" s="85">
        <f>J19/J20</f>
        <v>0.65537809881418885</v>
      </c>
    </row>
    <row r="20" spans="1:12" s="64" customFormat="1" ht="37.5" x14ac:dyDescent="0.25">
      <c r="A20" s="54"/>
      <c r="B20" s="55"/>
      <c r="C20" s="56" t="s">
        <v>11</v>
      </c>
      <c r="D20" s="57" t="s">
        <v>37</v>
      </c>
      <c r="E20" s="259" t="s">
        <v>99</v>
      </c>
      <c r="F20" s="55"/>
      <c r="G20" s="177">
        <v>0</v>
      </c>
      <c r="H20" s="55"/>
      <c r="I20" s="55"/>
      <c r="J20" s="177">
        <v>24434.75</v>
      </c>
      <c r="K20" s="55"/>
      <c r="L20" s="55"/>
    </row>
    <row r="21" spans="1:12" ht="13" thickBot="1" x14ac:dyDescent="0.3">
      <c r="A21" s="14"/>
      <c r="B21" s="15"/>
      <c r="C21" s="16"/>
      <c r="D21" s="6"/>
      <c r="E21" s="14"/>
      <c r="F21" s="15"/>
      <c r="G21" s="14"/>
      <c r="H21" s="15"/>
      <c r="I21" s="15"/>
      <c r="J21" s="14"/>
      <c r="K21" s="15"/>
      <c r="L21" s="15"/>
    </row>
    <row r="22" spans="1:12" x14ac:dyDescent="0.25">
      <c r="A22" s="244" t="s">
        <v>87</v>
      </c>
      <c r="B22" s="244"/>
      <c r="C22" s="244"/>
      <c r="D22" s="72"/>
      <c r="E22" s="262"/>
      <c r="F22" s="261"/>
      <c r="G22" s="261"/>
      <c r="H22" s="261"/>
      <c r="I22" s="261"/>
      <c r="J22" s="261"/>
      <c r="K22" s="261"/>
      <c r="L22" s="261"/>
    </row>
    <row r="23" spans="1:12" s="69" customFormat="1" ht="29.5" customHeight="1" x14ac:dyDescent="0.25">
      <c r="D23" s="256"/>
      <c r="E23" s="377" t="s">
        <v>86</v>
      </c>
      <c r="F23" s="377"/>
      <c r="G23" s="377"/>
      <c r="H23" s="377"/>
      <c r="I23" s="376"/>
      <c r="J23" s="376"/>
      <c r="K23" s="376"/>
      <c r="L23" s="376"/>
    </row>
    <row r="24" spans="1:12" ht="25.5" customHeight="1" x14ac:dyDescent="0.25"/>
  </sheetData>
  <mergeCells count="6">
    <mergeCell ref="I23:L23"/>
    <mergeCell ref="E23:H23"/>
    <mergeCell ref="D1:D2"/>
    <mergeCell ref="E1:L1"/>
    <mergeCell ref="G2:I2"/>
    <mergeCell ref="J2:L2"/>
  </mergeCells>
  <pageMargins left="0.31" right="0.22" top="0.69" bottom="0.68" header="0.5" footer="0.5"/>
  <pageSetup scale="55" fitToWidth="0" pageOrder="overThenDown" orientation="landscape" r:id="rId1"/>
  <headerFooter alignWithMargins="0">
    <oddHeader>&amp;C&amp;"Arial,Bold"&amp;12Armenian Youth Association of California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6"/>
  <sheetViews>
    <sheetView view="pageBreakPreview" zoomScaleNormal="60" zoomScaleSheetLayoutView="100" workbookViewId="0">
      <pane xSplit="3" ySplit="2" topLeftCell="D9" activePane="bottomRight" state="frozen"/>
      <selection activeCell="C35" sqref="C35"/>
      <selection pane="topRight" activeCell="C35" sqref="C35"/>
      <selection pane="bottomLeft" activeCell="C35" sqref="C35"/>
      <selection pane="bottomRight" activeCell="C20" sqref="C20"/>
    </sheetView>
  </sheetViews>
  <sheetFormatPr defaultColWidth="9.1796875" defaultRowHeight="12.5" x14ac:dyDescent="0.25"/>
  <cols>
    <col min="1" max="1" width="31" style="183" bestFit="1" customWidth="1"/>
    <col min="2" max="2" width="2.1796875" style="183" bestFit="1" customWidth="1"/>
    <col min="3" max="3" width="47.81640625" style="183" bestFit="1" customWidth="1"/>
    <col min="4" max="4" width="67.54296875" style="183" customWidth="1"/>
    <col min="5" max="5" width="20.1796875" style="185" customWidth="1"/>
    <col min="6" max="6" width="2.1796875" style="183" bestFit="1" customWidth="1"/>
    <col min="7" max="7" width="13.453125" style="183" customWidth="1"/>
    <col min="8" max="8" width="2.1796875" style="183" customWidth="1"/>
    <col min="9" max="9" width="12.54296875" style="183" customWidth="1"/>
    <col min="10" max="10" width="13.453125" style="183" customWidth="1"/>
    <col min="11" max="11" width="2.1796875" style="183" customWidth="1"/>
    <col min="12" max="12" width="12.54296875" style="183" customWidth="1"/>
    <col min="13" max="13" width="13.453125" style="183" customWidth="1"/>
    <col min="14" max="14" width="2.1796875" style="183" customWidth="1"/>
    <col min="15" max="15" width="12.54296875" style="183" customWidth="1"/>
    <col min="16" max="16" width="12.81640625" style="184" bestFit="1" customWidth="1"/>
    <col min="17" max="17" width="2.1796875" style="183" bestFit="1" customWidth="1"/>
    <col min="18" max="18" width="9.1796875" style="183"/>
    <col min="19" max="19" width="12.81640625" style="184" hidden="1" customWidth="1"/>
    <col min="20" max="20" width="0" style="183" hidden="1" customWidth="1"/>
    <col min="21" max="16384" width="9.1796875" style="183"/>
  </cols>
  <sheetData>
    <row r="1" spans="1:20" ht="13.5" customHeight="1" thickBot="1" x14ac:dyDescent="0.35">
      <c r="A1" s="214"/>
      <c r="B1" s="227"/>
      <c r="C1" s="224"/>
      <c r="D1" s="383" t="s">
        <v>25</v>
      </c>
      <c r="E1" s="390" t="s">
        <v>74</v>
      </c>
      <c r="F1" s="388"/>
      <c r="G1" s="388"/>
      <c r="H1" s="388"/>
      <c r="I1" s="388"/>
      <c r="J1" s="388"/>
      <c r="K1" s="388"/>
      <c r="L1" s="388"/>
      <c r="M1" s="242"/>
      <c r="N1" s="242"/>
      <c r="O1" s="242"/>
      <c r="P1" s="242"/>
      <c r="Q1" s="242"/>
      <c r="R1" s="242"/>
      <c r="S1" s="242"/>
      <c r="T1" s="243"/>
    </row>
    <row r="2" spans="1:20" s="236" customFormat="1" ht="13.5" customHeight="1" thickBot="1" x14ac:dyDescent="0.35">
      <c r="A2" s="241" t="s">
        <v>0</v>
      </c>
      <c r="B2" s="240"/>
      <c r="C2" s="239" t="s">
        <v>31</v>
      </c>
      <c r="D2" s="384"/>
      <c r="E2" s="238"/>
      <c r="F2" s="237"/>
      <c r="G2" s="385">
        <v>41455</v>
      </c>
      <c r="H2" s="386"/>
      <c r="I2" s="387"/>
      <c r="J2" s="385">
        <v>41090</v>
      </c>
      <c r="K2" s="386"/>
      <c r="L2" s="387"/>
      <c r="M2" s="385">
        <v>40359</v>
      </c>
      <c r="N2" s="386"/>
      <c r="O2" s="387"/>
      <c r="P2" s="381" t="s">
        <v>29</v>
      </c>
      <c r="Q2" s="388"/>
      <c r="R2" s="389"/>
      <c r="S2" s="381" t="s">
        <v>71</v>
      </c>
      <c r="T2" s="382"/>
    </row>
    <row r="3" spans="1:20" ht="50" x14ac:dyDescent="0.25">
      <c r="A3" s="214" t="s">
        <v>7</v>
      </c>
      <c r="B3" s="209" t="s">
        <v>4</v>
      </c>
      <c r="C3" s="213" t="s">
        <v>8</v>
      </c>
      <c r="D3" s="212" t="s">
        <v>53</v>
      </c>
      <c r="E3" s="211" t="s">
        <v>72</v>
      </c>
      <c r="F3" s="209" t="s">
        <v>4</v>
      </c>
      <c r="G3" s="207">
        <f>597729+48872</f>
        <v>646601</v>
      </c>
      <c r="H3" s="209" t="s">
        <v>4</v>
      </c>
      <c r="I3" s="234">
        <f>G3/G4</f>
        <v>0.11975888975938984</v>
      </c>
      <c r="J3" s="207">
        <f>524318+10974</f>
        <v>535292</v>
      </c>
      <c r="K3" s="209" t="s">
        <v>4</v>
      </c>
      <c r="L3" s="234">
        <f>J3/J4</f>
        <v>0.13286679092242901</v>
      </c>
      <c r="M3" s="207">
        <f>520882+48163</f>
        <v>569045</v>
      </c>
      <c r="N3" s="209" t="s">
        <v>4</v>
      </c>
      <c r="O3" s="234">
        <f>M3/M4</f>
        <v>0.13674817879768206</v>
      </c>
      <c r="P3" s="207">
        <f>424877+34397</f>
        <v>459274</v>
      </c>
      <c r="Q3" s="209" t="s">
        <v>4</v>
      </c>
      <c r="R3" s="233">
        <f>+P3/P4</f>
        <v>0.13259532289929316</v>
      </c>
      <c r="S3" s="207">
        <f>410440+25439</f>
        <v>435879</v>
      </c>
      <c r="T3" s="235">
        <f>+S3/S4</f>
        <v>0.15389207899538479</v>
      </c>
    </row>
    <row r="4" spans="1:20" s="198" customFormat="1" ht="25" x14ac:dyDescent="0.25">
      <c r="A4" s="205"/>
      <c r="B4" s="202"/>
      <c r="C4" s="199" t="s">
        <v>5</v>
      </c>
      <c r="D4" s="204" t="s">
        <v>38</v>
      </c>
      <c r="E4" s="203" t="s">
        <v>6</v>
      </c>
      <c r="F4" s="202"/>
      <c r="G4" s="200">
        <v>5399190</v>
      </c>
      <c r="H4" s="202"/>
      <c r="I4" s="201"/>
      <c r="J4" s="200">
        <v>4028787</v>
      </c>
      <c r="K4" s="202"/>
      <c r="L4" s="201"/>
      <c r="M4" s="200">
        <v>4161262</v>
      </c>
      <c r="N4" s="202"/>
      <c r="O4" s="201"/>
      <c r="P4" s="200">
        <v>3463727</v>
      </c>
      <c r="Q4" s="202"/>
      <c r="R4" s="201"/>
      <c r="S4" s="200">
        <v>2832368</v>
      </c>
      <c r="T4" s="199"/>
    </row>
    <row r="5" spans="1:20" ht="13" thickBot="1" x14ac:dyDescent="0.3">
      <c r="A5" s="197"/>
      <c r="B5" s="193"/>
      <c r="C5" s="190"/>
      <c r="D5" s="196"/>
      <c r="E5" s="195"/>
      <c r="F5" s="193"/>
      <c r="G5" s="194"/>
      <c r="H5" s="193"/>
      <c r="I5" s="192"/>
      <c r="J5" s="194"/>
      <c r="K5" s="193"/>
      <c r="L5" s="192"/>
      <c r="M5" s="194"/>
      <c r="N5" s="193"/>
      <c r="O5" s="192"/>
      <c r="P5" s="191"/>
      <c r="Q5" s="193"/>
      <c r="R5" s="192"/>
      <c r="S5" s="191"/>
      <c r="T5" s="190"/>
    </row>
    <row r="6" spans="1:20" ht="132.75" customHeight="1" x14ac:dyDescent="0.25">
      <c r="A6" s="214" t="s">
        <v>12</v>
      </c>
      <c r="B6" s="209" t="s">
        <v>4</v>
      </c>
      <c r="C6" s="213" t="s">
        <v>13</v>
      </c>
      <c r="D6" s="212" t="s">
        <v>33</v>
      </c>
      <c r="E6" s="211" t="s">
        <v>70</v>
      </c>
      <c r="F6" s="209" t="s">
        <v>4</v>
      </c>
      <c r="G6" s="207">
        <v>2330677</v>
      </c>
      <c r="H6" s="209" t="s">
        <v>4</v>
      </c>
      <c r="I6" s="234">
        <f>G6/G7</f>
        <v>9.1205956014713934</v>
      </c>
      <c r="J6" s="207">
        <v>1208112</v>
      </c>
      <c r="K6" s="209" t="s">
        <v>4</v>
      </c>
      <c r="L6" s="234">
        <f>J6/J7</f>
        <v>17.544976618548318</v>
      </c>
      <c r="M6" s="207">
        <v>390944</v>
      </c>
      <c r="N6" s="209" t="s">
        <v>4</v>
      </c>
      <c r="O6" s="234">
        <f>M6/M7</f>
        <v>4.5382615156017829</v>
      </c>
      <c r="P6" s="207">
        <v>715763</v>
      </c>
      <c r="Q6" s="209" t="s">
        <v>4</v>
      </c>
      <c r="R6" s="233">
        <f>+P6/P7</f>
        <v>5.0093641739860724</v>
      </c>
      <c r="S6" s="207">
        <v>493133</v>
      </c>
      <c r="T6" s="235">
        <f>+S6/S7</f>
        <v>1.5681051396445527</v>
      </c>
    </row>
    <row r="7" spans="1:20" s="198" customFormat="1" ht="117" customHeight="1" x14ac:dyDescent="0.25">
      <c r="A7" s="205"/>
      <c r="B7" s="202"/>
      <c r="C7" s="199" t="s">
        <v>14</v>
      </c>
      <c r="D7" s="204" t="s">
        <v>34</v>
      </c>
      <c r="E7" s="203" t="s">
        <v>69</v>
      </c>
      <c r="F7" s="202"/>
      <c r="G7" s="200">
        <v>255540</v>
      </c>
      <c r="H7" s="202"/>
      <c r="I7" s="201"/>
      <c r="J7" s="200">
        <v>68858</v>
      </c>
      <c r="K7" s="202"/>
      <c r="L7" s="201"/>
      <c r="M7" s="200">
        <v>86144</v>
      </c>
      <c r="N7" s="202"/>
      <c r="O7" s="201"/>
      <c r="P7" s="200">
        <v>142885</v>
      </c>
      <c r="Q7" s="202"/>
      <c r="R7" s="201"/>
      <c r="S7" s="200">
        <v>314477</v>
      </c>
      <c r="T7" s="199"/>
    </row>
    <row r="8" spans="1:20" ht="13" thickBot="1" x14ac:dyDescent="0.3">
      <c r="A8" s="197"/>
      <c r="B8" s="193"/>
      <c r="C8" s="190"/>
      <c r="D8" s="196"/>
      <c r="E8" s="195"/>
      <c r="F8" s="193"/>
      <c r="G8" s="194"/>
      <c r="H8" s="193"/>
      <c r="I8" s="192"/>
      <c r="J8" s="194"/>
      <c r="K8" s="193"/>
      <c r="L8" s="192"/>
      <c r="M8" s="194"/>
      <c r="N8" s="193"/>
      <c r="O8" s="192"/>
      <c r="P8" s="191"/>
      <c r="Q8" s="193"/>
      <c r="R8" s="192"/>
      <c r="S8" s="191"/>
      <c r="T8" s="190"/>
    </row>
    <row r="9" spans="1:20" ht="25" x14ac:dyDescent="0.25">
      <c r="A9" s="214" t="s">
        <v>15</v>
      </c>
      <c r="B9" s="209" t="s">
        <v>4</v>
      </c>
      <c r="C9" s="213" t="s">
        <v>16</v>
      </c>
      <c r="D9" s="212" t="s">
        <v>24</v>
      </c>
      <c r="E9" s="211" t="s">
        <v>16</v>
      </c>
      <c r="F9" s="209" t="s">
        <v>4</v>
      </c>
      <c r="G9" s="207">
        <v>255540</v>
      </c>
      <c r="H9" s="209" t="s">
        <v>4</v>
      </c>
      <c r="I9" s="234">
        <f>G9/G10</f>
        <v>0.11439018090515696</v>
      </c>
      <c r="J9" s="207">
        <v>68858</v>
      </c>
      <c r="K9" s="209" t="s">
        <v>4</v>
      </c>
      <c r="L9" s="234">
        <f>J9/J10</f>
        <v>5.3019243325818331E-2</v>
      </c>
      <c r="M9" s="207">
        <v>86144</v>
      </c>
      <c r="N9" s="209" t="s">
        <v>4</v>
      </c>
      <c r="O9" s="234">
        <f>M9/M10</f>
        <v>0.14553514711646326</v>
      </c>
      <c r="P9" s="207">
        <v>142885</v>
      </c>
      <c r="Q9" s="209" t="s">
        <v>4</v>
      </c>
      <c r="R9" s="233">
        <f>+P9/P10</f>
        <v>0.17634615360881106</v>
      </c>
      <c r="S9" s="207">
        <v>314477</v>
      </c>
      <c r="T9" s="235">
        <f>+S9/S10</f>
        <v>0.83177589868784041</v>
      </c>
    </row>
    <row r="10" spans="1:20" s="198" customFormat="1" ht="100" x14ac:dyDescent="0.25">
      <c r="A10" s="205"/>
      <c r="B10" s="202"/>
      <c r="C10" s="199" t="s">
        <v>17</v>
      </c>
      <c r="D10" s="204" t="s">
        <v>40</v>
      </c>
      <c r="E10" s="203" t="s">
        <v>62</v>
      </c>
      <c r="F10" s="202"/>
      <c r="G10" s="200">
        <v>2233933</v>
      </c>
      <c r="H10" s="202"/>
      <c r="I10" s="201"/>
      <c r="J10" s="200">
        <v>1298736</v>
      </c>
      <c r="K10" s="202"/>
      <c r="L10" s="201"/>
      <c r="M10" s="200">
        <v>591912</v>
      </c>
      <c r="N10" s="202"/>
      <c r="O10" s="201"/>
      <c r="P10" s="200">
        <v>810253</v>
      </c>
      <c r="Q10" s="202"/>
      <c r="R10" s="201"/>
      <c r="S10" s="200">
        <v>378079</v>
      </c>
      <c r="T10" s="199"/>
    </row>
    <row r="11" spans="1:20" ht="13" thickBot="1" x14ac:dyDescent="0.3">
      <c r="A11" s="197"/>
      <c r="B11" s="193"/>
      <c r="C11" s="190"/>
      <c r="D11" s="196"/>
      <c r="E11" s="195"/>
      <c r="F11" s="193"/>
      <c r="G11" s="194"/>
      <c r="H11" s="193"/>
      <c r="I11" s="192"/>
      <c r="J11" s="194"/>
      <c r="K11" s="193"/>
      <c r="L11" s="192"/>
      <c r="M11" s="194"/>
      <c r="N11" s="193"/>
      <c r="O11" s="192"/>
      <c r="P11" s="191"/>
      <c r="Q11" s="193"/>
      <c r="R11" s="192"/>
      <c r="S11" s="191"/>
      <c r="T11" s="190"/>
    </row>
    <row r="12" spans="1:20" ht="25" x14ac:dyDescent="0.25">
      <c r="A12" s="214" t="s">
        <v>18</v>
      </c>
      <c r="B12" s="209" t="s">
        <v>4</v>
      </c>
      <c r="C12" s="213" t="s">
        <v>19</v>
      </c>
      <c r="D12" s="212" t="s">
        <v>22</v>
      </c>
      <c r="E12" s="211" t="s">
        <v>68</v>
      </c>
      <c r="F12" s="209" t="s">
        <v>4</v>
      </c>
      <c r="G12" s="207">
        <f>1217120+890155+119582</f>
        <v>2226857</v>
      </c>
      <c r="H12" s="209" t="s">
        <v>4</v>
      </c>
      <c r="I12" s="234">
        <f>G12/G13</f>
        <v>4.9493135081373314</v>
      </c>
      <c r="J12" s="207">
        <f>491555+705552</f>
        <v>1197107</v>
      </c>
      <c r="K12" s="209" t="s">
        <v>4</v>
      </c>
      <c r="L12" s="234">
        <f>J12/J13</f>
        <v>3.5656598375640112</v>
      </c>
      <c r="M12" s="207">
        <f>224807+161072</f>
        <v>385879</v>
      </c>
      <c r="N12" s="209" t="s">
        <v>4</v>
      </c>
      <c r="O12" s="234">
        <f>M12/M13</f>
        <v>1.1127749226076129</v>
      </c>
      <c r="P12" s="207">
        <f>385520+313517</f>
        <v>699037</v>
      </c>
      <c r="Q12" s="209" t="s">
        <v>4</v>
      </c>
      <c r="R12" s="233">
        <f>+P12/P13</f>
        <v>2.4217970989053121</v>
      </c>
      <c r="S12" s="207">
        <f>173609+307907</f>
        <v>481516</v>
      </c>
      <c r="T12" s="232">
        <f>+S12/S13</f>
        <v>2.0400569417533316</v>
      </c>
    </row>
    <row r="13" spans="1:20" s="198" customFormat="1" x14ac:dyDescent="0.25">
      <c r="A13" s="205"/>
      <c r="B13" s="202"/>
      <c r="C13" s="199" t="s">
        <v>20</v>
      </c>
      <c r="D13" s="204"/>
      <c r="E13" s="203" t="s">
        <v>21</v>
      </c>
      <c r="F13" s="202"/>
      <c r="G13" s="200">
        <f>5399190/12</f>
        <v>449932.5</v>
      </c>
      <c r="H13" s="202"/>
      <c r="I13" s="231" t="s">
        <v>32</v>
      </c>
      <c r="J13" s="200">
        <f>4028787/12</f>
        <v>335732.25</v>
      </c>
      <c r="K13" s="202"/>
      <c r="L13" s="231" t="s">
        <v>32</v>
      </c>
      <c r="M13" s="200">
        <f>4161262/12</f>
        <v>346771.83333333331</v>
      </c>
      <c r="N13" s="202"/>
      <c r="O13" s="231" t="s">
        <v>32</v>
      </c>
      <c r="P13" s="200">
        <f>3463727/12</f>
        <v>288643.91666666669</v>
      </c>
      <c r="Q13" s="202"/>
      <c r="R13" s="231" t="s">
        <v>32</v>
      </c>
      <c r="S13" s="200">
        <f>2832368/12</f>
        <v>236030.66666666666</v>
      </c>
      <c r="T13" s="230" t="s">
        <v>32</v>
      </c>
    </row>
    <row r="14" spans="1:20" ht="13" thickBot="1" x14ac:dyDescent="0.3">
      <c r="A14" s="197"/>
      <c r="B14" s="193"/>
      <c r="C14" s="190"/>
      <c r="D14" s="196"/>
      <c r="E14" s="195"/>
      <c r="F14" s="193"/>
      <c r="G14" s="194"/>
      <c r="H14" s="193"/>
      <c r="I14" s="192"/>
      <c r="J14" s="194"/>
      <c r="K14" s="193"/>
      <c r="L14" s="192"/>
      <c r="M14" s="194"/>
      <c r="N14" s="193"/>
      <c r="O14" s="192"/>
      <c r="P14" s="191"/>
      <c r="Q14" s="193"/>
      <c r="R14" s="192"/>
      <c r="S14" s="191"/>
      <c r="T14" s="190"/>
    </row>
    <row r="15" spans="1:20" x14ac:dyDescent="0.25">
      <c r="A15" s="214"/>
      <c r="B15" s="227"/>
      <c r="C15" s="224"/>
      <c r="D15" s="212"/>
      <c r="E15" s="229"/>
      <c r="F15" s="227"/>
      <c r="G15" s="228"/>
      <c r="H15" s="227"/>
      <c r="I15" s="226"/>
      <c r="J15" s="228"/>
      <c r="K15" s="227"/>
      <c r="L15" s="226"/>
      <c r="M15" s="228"/>
      <c r="N15" s="227"/>
      <c r="O15" s="226"/>
      <c r="P15" s="225"/>
      <c r="Q15" s="227"/>
      <c r="R15" s="226"/>
      <c r="S15" s="225"/>
      <c r="T15" s="224"/>
    </row>
    <row r="16" spans="1:20" ht="62.5" x14ac:dyDescent="0.25">
      <c r="A16" s="223" t="s">
        <v>1</v>
      </c>
      <c r="B16" s="218" t="s">
        <v>4</v>
      </c>
      <c r="C16" s="222" t="s">
        <v>2</v>
      </c>
      <c r="D16" s="221" t="s">
        <v>35</v>
      </c>
      <c r="E16" s="220" t="s">
        <v>73</v>
      </c>
      <c r="F16" s="218" t="s">
        <v>4</v>
      </c>
      <c r="G16" s="216">
        <v>5067731</v>
      </c>
      <c r="H16" s="218" t="s">
        <v>4</v>
      </c>
      <c r="I16" s="219">
        <f>G16/G17</f>
        <v>0.80003495207981457</v>
      </c>
      <c r="J16" s="216">
        <v>3744502</v>
      </c>
      <c r="K16" s="218" t="s">
        <v>4</v>
      </c>
      <c r="L16" s="219">
        <f>J16/J17</f>
        <v>0.79409993290076519</v>
      </c>
      <c r="M16" s="216">
        <f>2520122+963812</f>
        <v>3483934</v>
      </c>
      <c r="N16" s="218" t="s">
        <v>4</v>
      </c>
      <c r="O16" s="219">
        <f>M16/M17</f>
        <v>0.88359213892441668</v>
      </c>
      <c r="P16" s="216">
        <v>3240152</v>
      </c>
      <c r="Q16" s="218" t="s">
        <v>4</v>
      </c>
      <c r="R16" s="217">
        <f>+P16/P17</f>
        <v>0.83867866680160819</v>
      </c>
      <c r="S16" s="216">
        <v>2563113</v>
      </c>
      <c r="T16" s="215">
        <f>+S16/S17</f>
        <v>0.86866576380924498</v>
      </c>
    </row>
    <row r="17" spans="1:20" s="198" customFormat="1" x14ac:dyDescent="0.25">
      <c r="A17" s="205"/>
      <c r="B17" s="202"/>
      <c r="C17" s="199" t="s">
        <v>3</v>
      </c>
      <c r="D17" s="204"/>
      <c r="E17" s="203" t="s">
        <v>3</v>
      </c>
      <c r="F17" s="202"/>
      <c r="G17" s="200">
        <v>6334387</v>
      </c>
      <c r="H17" s="202"/>
      <c r="I17" s="201"/>
      <c r="J17" s="200">
        <v>4715404</v>
      </c>
      <c r="K17" s="202"/>
      <c r="L17" s="201"/>
      <c r="M17" s="200">
        <v>3942921</v>
      </c>
      <c r="N17" s="202"/>
      <c r="O17" s="201"/>
      <c r="P17" s="200">
        <v>3863401</v>
      </c>
      <c r="Q17" s="202"/>
      <c r="R17" s="201"/>
      <c r="S17" s="200">
        <v>2950632</v>
      </c>
      <c r="T17" s="199"/>
    </row>
    <row r="18" spans="1:20" ht="13" thickBot="1" x14ac:dyDescent="0.3">
      <c r="A18" s="197"/>
      <c r="B18" s="193"/>
      <c r="C18" s="190"/>
      <c r="D18" s="196"/>
      <c r="E18" s="195"/>
      <c r="F18" s="193"/>
      <c r="G18" s="194"/>
      <c r="H18" s="193"/>
      <c r="I18" s="192"/>
      <c r="J18" s="194"/>
      <c r="K18" s="193"/>
      <c r="L18" s="192"/>
      <c r="M18" s="194"/>
      <c r="N18" s="193"/>
      <c r="O18" s="192"/>
      <c r="P18" s="191"/>
      <c r="Q18" s="193"/>
      <c r="R18" s="192"/>
      <c r="S18" s="191"/>
      <c r="T18" s="190"/>
    </row>
    <row r="19" spans="1:20" ht="75" x14ac:dyDescent="0.25">
      <c r="A19" s="214" t="s">
        <v>9</v>
      </c>
      <c r="B19" s="209" t="s">
        <v>4</v>
      </c>
      <c r="C19" s="213" t="s">
        <v>10</v>
      </c>
      <c r="D19" s="212" t="s">
        <v>23</v>
      </c>
      <c r="E19" s="211" t="s">
        <v>75</v>
      </c>
      <c r="F19" s="209" t="s">
        <v>4</v>
      </c>
      <c r="G19" s="207">
        <f>772504+20000+43200+405360</f>
        <v>1241064</v>
      </c>
      <c r="H19" s="209" t="s">
        <v>4</v>
      </c>
      <c r="I19" s="210">
        <f>G19/G20</f>
        <v>25.39417253232935</v>
      </c>
      <c r="J19" s="207">
        <f>752452+43200+150991</f>
        <v>946643</v>
      </c>
      <c r="K19" s="209" t="s">
        <v>4</v>
      </c>
      <c r="L19" s="210">
        <f>J19/J20</f>
        <v>86.262347366502638</v>
      </c>
      <c r="M19" s="207">
        <f>2520122+963812+58068+24500+43200+292292</f>
        <v>3901994</v>
      </c>
      <c r="N19" s="209" t="s">
        <v>4</v>
      </c>
      <c r="O19" s="210">
        <f>M19/M20</f>
        <v>81.016423395552607</v>
      </c>
      <c r="P19" s="207">
        <f>3240152+307922+314792</f>
        <v>3862866</v>
      </c>
      <c r="Q19" s="209" t="s">
        <v>4</v>
      </c>
      <c r="R19" s="208">
        <f>+P19/P20</f>
        <v>112.30241009390353</v>
      </c>
      <c r="S19" s="207">
        <f>2563113+205000+182000</f>
        <v>2950113</v>
      </c>
      <c r="T19" s="206">
        <f>+S19/S20</f>
        <v>115.96811981603051</v>
      </c>
    </row>
    <row r="20" spans="1:20" s="198" customFormat="1" ht="37.5" x14ac:dyDescent="0.25">
      <c r="A20" s="205"/>
      <c r="B20" s="202"/>
      <c r="C20" s="199" t="s">
        <v>11</v>
      </c>
      <c r="D20" s="204" t="s">
        <v>37</v>
      </c>
      <c r="E20" s="203" t="s">
        <v>36</v>
      </c>
      <c r="F20" s="202"/>
      <c r="G20" s="200">
        <v>48872</v>
      </c>
      <c r="H20" s="202"/>
      <c r="I20" s="201"/>
      <c r="J20" s="200">
        <v>10974</v>
      </c>
      <c r="K20" s="202"/>
      <c r="L20" s="201"/>
      <c r="M20" s="200">
        <v>48163</v>
      </c>
      <c r="N20" s="202"/>
      <c r="O20" s="201"/>
      <c r="P20" s="200">
        <v>34397</v>
      </c>
      <c r="Q20" s="202"/>
      <c r="R20" s="201"/>
      <c r="S20" s="200">
        <v>25439</v>
      </c>
      <c r="T20" s="199"/>
    </row>
    <row r="21" spans="1:20" ht="13" thickBot="1" x14ac:dyDescent="0.3">
      <c r="A21" s="197"/>
      <c r="B21" s="193"/>
      <c r="C21" s="190"/>
      <c r="D21" s="196"/>
      <c r="E21" s="195"/>
      <c r="F21" s="193"/>
      <c r="G21" s="194"/>
      <c r="H21" s="193"/>
      <c r="I21" s="192"/>
      <c r="J21" s="194"/>
      <c r="K21" s="193"/>
      <c r="L21" s="192"/>
      <c r="M21" s="194"/>
      <c r="N21" s="193"/>
      <c r="O21" s="192"/>
      <c r="P21" s="191"/>
      <c r="Q21" s="193"/>
      <c r="R21" s="192"/>
      <c r="S21" s="191"/>
      <c r="T21" s="190"/>
    </row>
    <row r="22" spans="1:20" ht="13" thickBot="1" x14ac:dyDescent="0.3">
      <c r="A22" s="249" t="s">
        <v>76</v>
      </c>
      <c r="B22" s="249"/>
      <c r="C22" s="250"/>
      <c r="D22" s="251"/>
      <c r="E22" s="252"/>
      <c r="F22" s="249"/>
      <c r="G22" s="253"/>
      <c r="H22" s="249"/>
      <c r="I22" s="254"/>
      <c r="J22" s="253"/>
      <c r="K22" s="249"/>
      <c r="L22" s="249"/>
      <c r="M22" s="193"/>
      <c r="N22" s="193"/>
      <c r="O22" s="192"/>
      <c r="P22" s="191"/>
      <c r="Q22" s="193"/>
      <c r="R22" s="192"/>
      <c r="S22" s="191"/>
      <c r="T22" s="190"/>
    </row>
    <row r="23" spans="1:20" x14ac:dyDescent="0.25">
      <c r="A23" s="189"/>
      <c r="B23" s="189"/>
      <c r="C23" s="189"/>
      <c r="D23" s="188"/>
      <c r="E23" s="247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248"/>
      <c r="Q23" s="189"/>
      <c r="R23" s="189"/>
      <c r="S23" s="248"/>
      <c r="T23" s="189"/>
    </row>
    <row r="24" spans="1:20" ht="27.75" customHeight="1" x14ac:dyDescent="0.25">
      <c r="A24" s="189"/>
      <c r="B24" s="189"/>
      <c r="C24" s="189"/>
      <c r="D24" s="188"/>
      <c r="E24" s="380" t="s">
        <v>67</v>
      </c>
      <c r="F24" s="380"/>
      <c r="G24" s="380"/>
      <c r="H24" s="380"/>
      <c r="I24" s="380"/>
      <c r="J24" s="380"/>
      <c r="K24" s="380"/>
      <c r="L24" s="380"/>
      <c r="M24" s="380"/>
      <c r="N24" s="380"/>
      <c r="O24" s="380"/>
      <c r="P24" s="380"/>
      <c r="Q24" s="380"/>
      <c r="R24" s="380"/>
      <c r="S24" s="380"/>
      <c r="T24" s="380"/>
    </row>
    <row r="25" spans="1:20" s="186" customFormat="1" ht="24" customHeight="1" x14ac:dyDescent="0.25">
      <c r="D25" s="187"/>
    </row>
    <row r="26" spans="1:20" ht="25.5" customHeight="1" x14ac:dyDescent="0.25"/>
  </sheetData>
  <mergeCells count="8">
    <mergeCell ref="E24:T24"/>
    <mergeCell ref="S2:T2"/>
    <mergeCell ref="D1:D2"/>
    <mergeCell ref="M2:O2"/>
    <mergeCell ref="P2:R2"/>
    <mergeCell ref="G2:I2"/>
    <mergeCell ref="J2:L2"/>
    <mergeCell ref="E1:L1"/>
  </mergeCells>
  <pageMargins left="0.31" right="0.22" top="0.69" bottom="0.68" header="0.5" footer="0.5"/>
  <pageSetup scale="60" pageOrder="overThenDown" orientation="landscape" r:id="rId1"/>
  <headerFooter alignWithMargins="0">
    <oddHeader xml:space="preserve">&amp;C&amp;"Arial,Bold"&amp;12All for Health, Health for All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2"/>
  <sheetViews>
    <sheetView zoomScale="75" zoomScaleNormal="75" zoomScaleSheetLayoutView="85" workbookViewId="0">
      <pane xSplit="3" topLeftCell="E1" activePane="topRight" state="frozen"/>
      <selection activeCell="F10" sqref="F10"/>
      <selection pane="topRight" activeCell="J13" sqref="J13"/>
    </sheetView>
  </sheetViews>
  <sheetFormatPr defaultRowHeight="12.5" x14ac:dyDescent="0.25"/>
  <cols>
    <col min="1" max="1" width="31" bestFit="1" customWidth="1"/>
    <col min="2" max="2" width="2.1796875" bestFit="1" customWidth="1"/>
    <col min="3" max="3" width="47.81640625" bestFit="1" customWidth="1"/>
    <col min="4" max="4" width="67.54296875" customWidth="1"/>
    <col min="5" max="5" width="15.1796875" bestFit="1" customWidth="1"/>
    <col min="6" max="6" width="2.54296875" bestFit="1" customWidth="1"/>
    <col min="7" max="7" width="11.26953125" style="128" customWidth="1"/>
    <col min="8" max="8" width="2.7265625" style="128" customWidth="1"/>
    <col min="9" max="10" width="11.26953125" style="128" customWidth="1"/>
    <col min="11" max="11" width="2.7265625" style="128" customWidth="1"/>
    <col min="12" max="12" width="11.26953125" style="128" customWidth="1"/>
    <col min="13" max="13" width="12.54296875" style="128" customWidth="1"/>
    <col min="14" max="14" width="2.54296875" customWidth="1"/>
    <col min="16" max="16" width="10.1796875" customWidth="1"/>
    <col min="17" max="17" width="2.54296875" customWidth="1"/>
    <col min="18" max="18" width="10.81640625" customWidth="1"/>
  </cols>
  <sheetData>
    <row r="1" spans="1:18" ht="13.5" customHeight="1" thickBot="1" x14ac:dyDescent="0.35">
      <c r="A1" s="8"/>
      <c r="B1" s="9"/>
      <c r="C1" s="10"/>
      <c r="D1" s="354" t="s">
        <v>25</v>
      </c>
      <c r="E1" s="371" t="s">
        <v>63</v>
      </c>
      <c r="F1" s="372"/>
      <c r="G1" s="372"/>
      <c r="H1" s="372"/>
      <c r="I1" s="372"/>
      <c r="J1" s="372"/>
      <c r="K1" s="372"/>
      <c r="L1" s="373"/>
      <c r="M1" s="110"/>
      <c r="N1" s="110"/>
      <c r="O1" s="111"/>
      <c r="P1" s="110"/>
      <c r="Q1" s="110"/>
      <c r="R1" s="111"/>
    </row>
    <row r="2" spans="1:18" s="1" customFormat="1" ht="13.5" customHeight="1" thickBot="1" x14ac:dyDescent="0.35">
      <c r="A2" s="33" t="s">
        <v>0</v>
      </c>
      <c r="B2" s="34"/>
      <c r="C2" s="35" t="s">
        <v>31</v>
      </c>
      <c r="D2" s="355"/>
      <c r="E2" s="93"/>
      <c r="F2" s="4"/>
      <c r="G2" s="368">
        <v>41820</v>
      </c>
      <c r="H2" s="369"/>
      <c r="I2" s="370"/>
      <c r="J2" s="368">
        <v>41455</v>
      </c>
      <c r="K2" s="369"/>
      <c r="L2" s="370"/>
      <c r="M2" s="366">
        <v>41090</v>
      </c>
      <c r="N2" s="366"/>
      <c r="O2" s="367"/>
      <c r="P2" s="369">
        <v>40724</v>
      </c>
      <c r="Q2" s="369"/>
      <c r="R2" s="370"/>
    </row>
    <row r="3" spans="1:18" ht="37.5" x14ac:dyDescent="0.25">
      <c r="A3" s="8" t="s">
        <v>7</v>
      </c>
      <c r="B3" s="17" t="s">
        <v>4</v>
      </c>
      <c r="C3" s="18" t="s">
        <v>8</v>
      </c>
      <c r="D3" s="7" t="s">
        <v>53</v>
      </c>
      <c r="E3" s="95" t="s">
        <v>55</v>
      </c>
      <c r="F3" s="12" t="s">
        <v>4</v>
      </c>
      <c r="G3" s="157">
        <f>64420+47196</f>
        <v>111616</v>
      </c>
      <c r="H3" s="109" t="s">
        <v>4</v>
      </c>
      <c r="I3" s="150">
        <f>G3/G4</f>
        <v>0.24842309558466763</v>
      </c>
      <c r="J3" s="157">
        <f>49993+55885</f>
        <v>105878</v>
      </c>
      <c r="K3" s="109" t="s">
        <v>4</v>
      </c>
      <c r="L3" s="150">
        <f>J3/J4</f>
        <v>0.23089386924635324</v>
      </c>
      <c r="M3" s="165">
        <f>59707+51785</f>
        <v>111492</v>
      </c>
      <c r="N3" s="87" t="s">
        <v>4</v>
      </c>
      <c r="O3" s="115">
        <f>+M3/M4</f>
        <v>0.21719615681324075</v>
      </c>
      <c r="P3" s="112">
        <f>56081+58809</f>
        <v>114890</v>
      </c>
      <c r="Q3" s="12" t="s">
        <v>4</v>
      </c>
      <c r="R3" s="91">
        <f>P3/P4</f>
        <v>0.2232698963618803</v>
      </c>
    </row>
    <row r="4" spans="1:18" s="64" customFormat="1" ht="25" x14ac:dyDescent="0.25">
      <c r="A4" s="54"/>
      <c r="B4" s="55"/>
      <c r="C4" s="56" t="s">
        <v>5</v>
      </c>
      <c r="D4" s="57" t="s">
        <v>38</v>
      </c>
      <c r="E4" s="96" t="s">
        <v>5</v>
      </c>
      <c r="F4" s="59"/>
      <c r="G4" s="162">
        <v>449298</v>
      </c>
      <c r="H4" s="130"/>
      <c r="I4" s="131"/>
      <c r="J4" s="162">
        <v>458557</v>
      </c>
      <c r="K4" s="130"/>
      <c r="L4" s="131"/>
      <c r="M4" s="140">
        <v>513324</v>
      </c>
      <c r="N4" s="75"/>
      <c r="O4" s="56"/>
      <c r="P4" s="113">
        <v>514579</v>
      </c>
      <c r="Q4" s="59"/>
      <c r="R4" s="89"/>
    </row>
    <row r="5" spans="1:18" ht="13" thickBot="1" x14ac:dyDescent="0.3">
      <c r="A5" s="14"/>
      <c r="B5" s="15"/>
      <c r="C5" s="16"/>
      <c r="D5" s="6"/>
      <c r="E5" s="14"/>
      <c r="F5" s="15"/>
      <c r="G5" s="146"/>
      <c r="H5" s="124"/>
      <c r="I5" s="125"/>
      <c r="J5" s="146"/>
      <c r="K5" s="124"/>
      <c r="L5" s="125"/>
      <c r="M5" s="124"/>
      <c r="N5" s="15"/>
      <c r="O5" s="16"/>
      <c r="P5" s="15"/>
      <c r="Q5" s="15"/>
      <c r="R5" s="16"/>
    </row>
    <row r="6" spans="1:18" ht="132.75" customHeight="1" x14ac:dyDescent="0.25">
      <c r="A6" s="8" t="s">
        <v>12</v>
      </c>
      <c r="B6" s="17" t="s">
        <v>4</v>
      </c>
      <c r="C6" s="18" t="s">
        <v>13</v>
      </c>
      <c r="D6" s="7" t="s">
        <v>33</v>
      </c>
      <c r="E6" s="97" t="s">
        <v>52</v>
      </c>
      <c r="F6" s="12" t="s">
        <v>4</v>
      </c>
      <c r="G6" s="157">
        <v>175771</v>
      </c>
      <c r="H6" s="109" t="s">
        <v>4</v>
      </c>
      <c r="I6" s="150">
        <f>G6/G7</f>
        <v>4.8622683264177038</v>
      </c>
      <c r="J6" s="157">
        <v>160563</v>
      </c>
      <c r="K6" s="109" t="s">
        <v>4</v>
      </c>
      <c r="L6" s="150">
        <f>J6/J7</f>
        <v>6.2827907340741902</v>
      </c>
      <c r="M6" s="166">
        <v>224927</v>
      </c>
      <c r="N6" s="12" t="s">
        <v>4</v>
      </c>
      <c r="O6" s="115">
        <f>+M6/M7</f>
        <v>11.04369813914666</v>
      </c>
      <c r="P6" s="112">
        <v>318262</v>
      </c>
      <c r="Q6" s="12" t="s">
        <v>4</v>
      </c>
      <c r="R6" s="92">
        <f>P6/P7</f>
        <v>12.758548807376227</v>
      </c>
    </row>
    <row r="7" spans="1:18" s="64" customFormat="1" ht="117" customHeight="1" x14ac:dyDescent="0.25">
      <c r="A7" s="54"/>
      <c r="B7" s="55"/>
      <c r="C7" s="56" t="s">
        <v>14</v>
      </c>
      <c r="D7" s="57" t="s">
        <v>34</v>
      </c>
      <c r="E7" s="121" t="s">
        <v>49</v>
      </c>
      <c r="F7" s="55"/>
      <c r="G7" s="156">
        <v>36150</v>
      </c>
      <c r="H7" s="126"/>
      <c r="I7" s="127"/>
      <c r="J7" s="156">
        <v>25556</v>
      </c>
      <c r="K7" s="126"/>
      <c r="L7" s="127"/>
      <c r="M7" s="167">
        <v>20367</v>
      </c>
      <c r="N7" s="55"/>
      <c r="O7" s="56"/>
      <c r="P7" s="86">
        <v>24945</v>
      </c>
      <c r="Q7" s="55"/>
      <c r="R7" s="56"/>
    </row>
    <row r="8" spans="1:18" ht="13" thickBot="1" x14ac:dyDescent="0.3">
      <c r="A8" s="14"/>
      <c r="B8" s="15"/>
      <c r="C8" s="16"/>
      <c r="D8" s="6"/>
      <c r="E8" s="14"/>
      <c r="F8" s="15"/>
      <c r="G8" s="146"/>
      <c r="H8" s="124"/>
      <c r="I8" s="125"/>
      <c r="J8" s="146"/>
      <c r="K8" s="124"/>
      <c r="L8" s="125"/>
      <c r="M8" s="124"/>
      <c r="N8" s="15"/>
      <c r="O8" s="16"/>
      <c r="P8" s="15"/>
      <c r="Q8" s="15"/>
      <c r="R8" s="16"/>
    </row>
    <row r="9" spans="1:18" ht="25" x14ac:dyDescent="0.25">
      <c r="A9" s="8" t="s">
        <v>15</v>
      </c>
      <c r="B9" s="17" t="s">
        <v>4</v>
      </c>
      <c r="C9" s="18" t="s">
        <v>16</v>
      </c>
      <c r="D9" s="7" t="s">
        <v>24</v>
      </c>
      <c r="E9" s="97" t="s">
        <v>49</v>
      </c>
      <c r="F9" s="12" t="s">
        <v>4</v>
      </c>
      <c r="G9" s="157">
        <v>36150</v>
      </c>
      <c r="H9" s="109" t="s">
        <v>4</v>
      </c>
      <c r="I9" s="150">
        <f>G9/G10</f>
        <v>3.1607939144880652</v>
      </c>
      <c r="J9" s="157">
        <v>25556</v>
      </c>
      <c r="K9" s="109" t="s">
        <v>4</v>
      </c>
      <c r="L9" s="150">
        <f>J9/J10</f>
        <v>0.73186517368767723</v>
      </c>
      <c r="M9" s="166">
        <v>20367</v>
      </c>
      <c r="N9" s="12" t="s">
        <v>4</v>
      </c>
      <c r="O9" s="115">
        <f>+M9/M10</f>
        <v>0.17624305567574117</v>
      </c>
      <c r="P9" s="112">
        <v>24945</v>
      </c>
      <c r="Q9" s="12" t="s">
        <v>4</v>
      </c>
      <c r="R9" s="92">
        <f>P9/P10</f>
        <v>0.15042331998649236</v>
      </c>
    </row>
    <row r="10" spans="1:18" s="64" customFormat="1" ht="100" x14ac:dyDescent="0.25">
      <c r="A10" s="54"/>
      <c r="B10" s="55"/>
      <c r="C10" s="56" t="s">
        <v>17</v>
      </c>
      <c r="D10" s="57" t="s">
        <v>40</v>
      </c>
      <c r="E10" s="96" t="s">
        <v>48</v>
      </c>
      <c r="F10" s="55"/>
      <c r="G10" s="156">
        <v>11437</v>
      </c>
      <c r="H10" s="126"/>
      <c r="I10" s="127"/>
      <c r="J10" s="156">
        <v>34919</v>
      </c>
      <c r="K10" s="126"/>
      <c r="L10" s="127"/>
      <c r="M10" s="167">
        <v>115562</v>
      </c>
      <c r="N10" s="55"/>
      <c r="O10" s="56"/>
      <c r="P10" s="86">
        <v>165832</v>
      </c>
      <c r="Q10" s="55"/>
      <c r="R10" s="56"/>
    </row>
    <row r="11" spans="1:18" ht="13" thickBot="1" x14ac:dyDescent="0.3">
      <c r="A11" s="14"/>
      <c r="B11" s="15"/>
      <c r="C11" s="16"/>
      <c r="D11" s="6"/>
      <c r="E11" s="14"/>
      <c r="F11" s="15"/>
      <c r="G11" s="146"/>
      <c r="H11" s="124"/>
      <c r="I11" s="125"/>
      <c r="J11" s="146"/>
      <c r="K11" s="124"/>
      <c r="L11" s="125"/>
      <c r="M11" s="124"/>
      <c r="N11" s="15"/>
      <c r="O11" s="16"/>
      <c r="P11" s="15"/>
      <c r="Q11" s="15"/>
      <c r="R11" s="16"/>
    </row>
    <row r="12" spans="1:18" ht="50" x14ac:dyDescent="0.25">
      <c r="A12" s="8" t="s">
        <v>18</v>
      </c>
      <c r="B12" s="17" t="s">
        <v>4</v>
      </c>
      <c r="C12" s="18" t="s">
        <v>19</v>
      </c>
      <c r="D12" s="7" t="s">
        <v>22</v>
      </c>
      <c r="E12" s="97" t="s">
        <v>56</v>
      </c>
      <c r="F12" s="12" t="s">
        <v>4</v>
      </c>
      <c r="G12" s="157">
        <f>30203+121421+6810</f>
        <v>158434</v>
      </c>
      <c r="H12" s="109" t="s">
        <v>4</v>
      </c>
      <c r="I12" s="150">
        <f>G12/G13</f>
        <v>4.2315078188640944</v>
      </c>
      <c r="J12" s="157">
        <v>145966</v>
      </c>
      <c r="K12" s="109" t="s">
        <v>4</v>
      </c>
      <c r="L12" s="150">
        <f>J12/J13</f>
        <v>3.8197912146145407</v>
      </c>
      <c r="M12" s="166">
        <f>47901+133664+25000</f>
        <v>206565</v>
      </c>
      <c r="N12" s="12" t="s">
        <v>4</v>
      </c>
      <c r="O12" s="115">
        <f>+M12/M13</f>
        <v>4.8288800056104915</v>
      </c>
      <c r="P12" s="112">
        <f>15449+235055+65000</f>
        <v>315504</v>
      </c>
      <c r="Q12" s="12" t="s">
        <v>4</v>
      </c>
      <c r="R12" s="92">
        <f>P12/P13</f>
        <v>7.3575641446697198</v>
      </c>
    </row>
    <row r="13" spans="1:18" s="64" customFormat="1" ht="25" x14ac:dyDescent="0.25">
      <c r="A13" s="54"/>
      <c r="B13" s="55"/>
      <c r="C13" s="56" t="s">
        <v>20</v>
      </c>
      <c r="D13" s="57"/>
      <c r="E13" s="96" t="s">
        <v>21</v>
      </c>
      <c r="F13" s="55"/>
      <c r="G13" s="156">
        <f>449298/12</f>
        <v>37441.5</v>
      </c>
      <c r="H13" s="126"/>
      <c r="I13" s="151" t="s">
        <v>32</v>
      </c>
      <c r="J13" s="156">
        <f>458557/12</f>
        <v>38213.083333333336</v>
      </c>
      <c r="K13" s="126"/>
      <c r="L13" s="151" t="s">
        <v>32</v>
      </c>
      <c r="M13" s="167">
        <f>513324/12</f>
        <v>42777</v>
      </c>
      <c r="N13" s="55"/>
      <c r="O13" s="70" t="s">
        <v>32</v>
      </c>
      <c r="P13" s="86">
        <f>514579/12</f>
        <v>42881.583333333336</v>
      </c>
      <c r="Q13" s="55"/>
      <c r="R13" s="70" t="s">
        <v>32</v>
      </c>
    </row>
    <row r="14" spans="1:18" ht="13" thickBot="1" x14ac:dyDescent="0.3">
      <c r="A14" s="14"/>
      <c r="B14" s="15"/>
      <c r="C14" s="16"/>
      <c r="D14" s="6"/>
      <c r="E14" s="14"/>
      <c r="F14" s="15"/>
      <c r="G14" s="146"/>
      <c r="H14" s="124"/>
      <c r="I14" s="125"/>
      <c r="J14" s="146"/>
      <c r="K14" s="124"/>
      <c r="L14" s="125"/>
      <c r="M14" s="124"/>
      <c r="N14" s="15"/>
      <c r="O14" s="16"/>
      <c r="P14" s="15"/>
      <c r="Q14" s="15"/>
      <c r="R14" s="16"/>
    </row>
    <row r="15" spans="1:18" x14ac:dyDescent="0.25">
      <c r="A15" s="8"/>
      <c r="B15" s="9"/>
      <c r="C15" s="10"/>
      <c r="D15" s="7"/>
      <c r="E15" s="11"/>
      <c r="F15" s="71"/>
      <c r="G15" s="147"/>
      <c r="H15" s="145"/>
      <c r="I15" s="152"/>
      <c r="J15" s="147"/>
      <c r="K15" s="145"/>
      <c r="L15" s="152"/>
      <c r="M15" s="145"/>
      <c r="N15" s="71"/>
      <c r="O15" s="88"/>
      <c r="P15" s="71"/>
      <c r="Q15" s="71"/>
      <c r="R15" s="88"/>
    </row>
    <row r="16" spans="1:18" ht="37.5" x14ac:dyDescent="0.25">
      <c r="A16" s="11" t="s">
        <v>1</v>
      </c>
      <c r="B16" s="12" t="s">
        <v>4</v>
      </c>
      <c r="C16" s="13" t="s">
        <v>2</v>
      </c>
      <c r="D16" s="5" t="s">
        <v>35</v>
      </c>
      <c r="E16" s="97" t="s">
        <v>57</v>
      </c>
      <c r="F16" s="12" t="s">
        <v>4</v>
      </c>
      <c r="G16" s="157">
        <v>163489</v>
      </c>
      <c r="H16" s="109" t="s">
        <v>4</v>
      </c>
      <c r="I16" s="150">
        <f>G16/G17</f>
        <v>0.36120906021881682</v>
      </c>
      <c r="J16" s="157">
        <v>129043</v>
      </c>
      <c r="K16" s="109" t="s">
        <v>4</v>
      </c>
      <c r="L16" s="150">
        <f>J16/J17</f>
        <v>0.32920476345973304</v>
      </c>
      <c r="M16" s="166">
        <v>180478</v>
      </c>
      <c r="N16" s="12" t="s">
        <v>4</v>
      </c>
      <c r="O16" s="115">
        <f>+M16/M17</f>
        <v>0.4272902471246135</v>
      </c>
      <c r="P16" s="114">
        <v>191612</v>
      </c>
      <c r="Q16" s="12" t="s">
        <v>4</v>
      </c>
      <c r="R16" s="92">
        <f>P16/P17</f>
        <v>0.32794550557951668</v>
      </c>
    </row>
    <row r="17" spans="1:18" s="64" customFormat="1" ht="37.5" x14ac:dyDescent="0.25">
      <c r="A17" s="54"/>
      <c r="B17" s="55"/>
      <c r="C17" s="56" t="s">
        <v>3</v>
      </c>
      <c r="D17" s="57"/>
      <c r="E17" s="96" t="s">
        <v>58</v>
      </c>
      <c r="F17" s="55"/>
      <c r="G17" s="156">
        <v>452616</v>
      </c>
      <c r="H17" s="126"/>
      <c r="I17" s="127"/>
      <c r="J17" s="156">
        <v>391984</v>
      </c>
      <c r="K17" s="126"/>
      <c r="L17" s="127"/>
      <c r="M17" s="167">
        <v>422378</v>
      </c>
      <c r="N17" s="55"/>
      <c r="O17" s="56"/>
      <c r="P17" s="86">
        <v>584280</v>
      </c>
      <c r="Q17" s="55"/>
      <c r="R17" s="56"/>
    </row>
    <row r="18" spans="1:18" ht="13" thickBot="1" x14ac:dyDescent="0.3">
      <c r="A18" s="14"/>
      <c r="B18" s="15"/>
      <c r="C18" s="16"/>
      <c r="D18" s="6"/>
      <c r="E18" s="14"/>
      <c r="F18" s="15"/>
      <c r="G18" s="146"/>
      <c r="H18" s="124"/>
      <c r="I18" s="125"/>
      <c r="J18" s="146"/>
      <c r="K18" s="124"/>
      <c r="L18" s="125"/>
      <c r="M18" s="124"/>
      <c r="N18" s="15"/>
      <c r="O18" s="16"/>
      <c r="P18" s="15"/>
      <c r="Q18" s="15"/>
      <c r="R18" s="16"/>
    </row>
    <row r="19" spans="1:18" ht="100" x14ac:dyDescent="0.25">
      <c r="A19" s="8" t="s">
        <v>9</v>
      </c>
      <c r="B19" s="17" t="s">
        <v>4</v>
      </c>
      <c r="C19" s="18" t="s">
        <v>10</v>
      </c>
      <c r="D19" s="7" t="s">
        <v>23</v>
      </c>
      <c r="E19" s="97" t="s">
        <v>60</v>
      </c>
      <c r="F19" s="12" t="s">
        <v>4</v>
      </c>
      <c r="G19" s="155">
        <f>163489+63344+64166+143669</f>
        <v>434668</v>
      </c>
      <c r="H19" s="109" t="s">
        <v>4</v>
      </c>
      <c r="I19" s="153">
        <f>G19/G20</f>
        <v>9.2098482922281555</v>
      </c>
      <c r="J19" s="155">
        <f>124500+57786+64582+129043</f>
        <v>375911</v>
      </c>
      <c r="K19" s="109" t="s">
        <v>4</v>
      </c>
      <c r="L19" s="153">
        <f>J19/J20</f>
        <v>6.7265097969043568</v>
      </c>
      <c r="M19" s="166">
        <f>122016+79892+50039+180478</f>
        <v>432425</v>
      </c>
      <c r="N19" s="12" t="s">
        <v>4</v>
      </c>
      <c r="O19" s="116">
        <f>+M19/M20</f>
        <v>8.3503910398764116</v>
      </c>
      <c r="P19" s="112">
        <f>191612+111805+48321+185781</f>
        <v>537519</v>
      </c>
      <c r="Q19" s="12" t="s">
        <v>4</v>
      </c>
      <c r="R19" s="90">
        <f>P19/P20</f>
        <v>9.1400805999081776</v>
      </c>
    </row>
    <row r="20" spans="1:18" s="64" customFormat="1" ht="37.5" x14ac:dyDescent="0.25">
      <c r="A20" s="54"/>
      <c r="B20" s="55"/>
      <c r="C20" s="56" t="s">
        <v>11</v>
      </c>
      <c r="D20" s="57" t="s">
        <v>37</v>
      </c>
      <c r="E20" s="96" t="s">
        <v>50</v>
      </c>
      <c r="F20" s="55"/>
      <c r="G20" s="156">
        <v>47196</v>
      </c>
      <c r="H20" s="126"/>
      <c r="I20" s="127"/>
      <c r="J20" s="156">
        <v>55885</v>
      </c>
      <c r="K20" s="126"/>
      <c r="L20" s="127"/>
      <c r="M20" s="167">
        <v>51785</v>
      </c>
      <c r="N20" s="55"/>
      <c r="O20" s="56"/>
      <c r="P20" s="86">
        <v>58809</v>
      </c>
      <c r="Q20" s="55"/>
      <c r="R20" s="56"/>
    </row>
    <row r="21" spans="1:18" ht="13" thickBot="1" x14ac:dyDescent="0.3">
      <c r="A21" s="14"/>
      <c r="B21" s="15"/>
      <c r="C21" s="16"/>
      <c r="D21" s="6"/>
      <c r="E21" s="14"/>
      <c r="F21" s="15"/>
      <c r="G21" s="146"/>
      <c r="H21" s="124"/>
      <c r="I21" s="125"/>
      <c r="J21" s="146"/>
      <c r="K21" s="124"/>
      <c r="L21" s="125"/>
      <c r="M21" s="124"/>
      <c r="N21" s="15"/>
      <c r="O21" s="16"/>
      <c r="P21" s="15"/>
      <c r="Q21" s="15"/>
      <c r="R21" s="16"/>
    </row>
    <row r="22" spans="1:18" ht="27.75" customHeight="1" x14ac:dyDescent="0.25">
      <c r="A22" s="69"/>
      <c r="B22" s="69"/>
      <c r="C22" s="69"/>
      <c r="D22" s="72"/>
      <c r="E22" s="391" t="s">
        <v>59</v>
      </c>
      <c r="F22" s="391"/>
      <c r="G22" s="391"/>
      <c r="H22" s="391"/>
      <c r="I22" s="391"/>
      <c r="J22" s="391"/>
      <c r="K22" s="391"/>
      <c r="L22" s="391"/>
      <c r="M22" s="391"/>
      <c r="N22" s="391"/>
      <c r="O22" s="391"/>
      <c r="P22" s="391"/>
      <c r="Q22" s="391"/>
      <c r="R22" s="391"/>
    </row>
  </sheetData>
  <mergeCells count="7">
    <mergeCell ref="E22:R22"/>
    <mergeCell ref="D1:D2"/>
    <mergeCell ref="M2:O2"/>
    <mergeCell ref="P2:R2"/>
    <mergeCell ref="J2:L2"/>
    <mergeCell ref="G2:I2"/>
    <mergeCell ref="E1:L1"/>
  </mergeCells>
  <phoneticPr fontId="3" type="noConversion"/>
  <pageMargins left="0.26" right="0.22" top="0.69" bottom="1" header="0.44" footer="0.5"/>
  <pageSetup scale="58" orientation="landscape" r:id="rId1"/>
  <headerFooter alignWithMargins="0">
    <oddHeader>&amp;C&amp;"Arial,Bold"&amp;12Glendale Healthy Kids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4"/>
  <sheetViews>
    <sheetView topLeftCell="A4" workbookViewId="0">
      <selection activeCell="D10" sqref="D10"/>
    </sheetView>
  </sheetViews>
  <sheetFormatPr defaultColWidth="8.81640625" defaultRowHeight="12.5" x14ac:dyDescent="0.25"/>
  <cols>
    <col min="1" max="1" width="12.81640625" style="74" customWidth="1"/>
    <col min="2" max="2" width="3.7265625" style="74" customWidth="1"/>
    <col min="3" max="3" width="18.1796875" style="74" customWidth="1"/>
    <col min="4" max="4" width="28.453125" style="74" customWidth="1"/>
    <col min="5" max="5" width="18.26953125" style="74" customWidth="1"/>
    <col min="6" max="6" width="19.54296875" style="266" customWidth="1"/>
    <col min="7" max="7" width="2.7265625" style="266" customWidth="1"/>
    <col min="8" max="8" width="22" style="267" customWidth="1"/>
    <col min="9" max="9" width="2.7265625" style="267" customWidth="1"/>
    <col min="10" max="10" width="11.26953125" style="267" customWidth="1"/>
    <col min="11" max="11" width="21.7265625" style="266" customWidth="1"/>
    <col min="12" max="12" width="2.81640625" style="266" customWidth="1"/>
    <col min="13" max="13" width="8" style="266" customWidth="1"/>
    <col min="14" max="14" width="22" style="266" customWidth="1"/>
    <col min="15" max="15" width="2.81640625" style="266" customWidth="1"/>
    <col min="16" max="16" width="8" style="266" customWidth="1"/>
    <col min="17" max="16384" width="8.81640625" style="74"/>
  </cols>
  <sheetData>
    <row r="1" spans="1:16" ht="42.75" customHeight="1" thickBot="1" x14ac:dyDescent="0.45">
      <c r="A1" s="307"/>
      <c r="B1" s="295"/>
      <c r="C1" s="296"/>
      <c r="D1" s="343" t="s">
        <v>25</v>
      </c>
      <c r="E1" s="272" t="s">
        <v>103</v>
      </c>
      <c r="F1" s="392" t="s">
        <v>108</v>
      </c>
      <c r="G1" s="393"/>
      <c r="H1" s="393"/>
      <c r="I1" s="393"/>
      <c r="J1" s="393"/>
      <c r="K1" s="393"/>
      <c r="L1" s="393"/>
      <c r="M1" s="393"/>
      <c r="N1" s="393"/>
      <c r="O1" s="393"/>
      <c r="P1" s="393"/>
    </row>
    <row r="2" spans="1:16" s="264" customFormat="1" ht="27.75" customHeight="1" thickBot="1" x14ac:dyDescent="0.4">
      <c r="A2" s="309" t="s">
        <v>0</v>
      </c>
      <c r="B2" s="297"/>
      <c r="C2" s="298" t="s">
        <v>31</v>
      </c>
      <c r="D2" s="344"/>
      <c r="E2" s="328" t="s">
        <v>104</v>
      </c>
      <c r="F2" s="329" t="s">
        <v>106</v>
      </c>
      <c r="G2" s="330"/>
      <c r="H2" s="333">
        <v>42735</v>
      </c>
      <c r="I2" s="331"/>
      <c r="J2" s="332">
        <f>YEAR(H2)</f>
        <v>2016</v>
      </c>
      <c r="K2" s="333">
        <v>43100</v>
      </c>
      <c r="L2" s="331"/>
      <c r="M2" s="332">
        <f>YEAR(K2)</f>
        <v>2017</v>
      </c>
      <c r="N2" s="333">
        <v>43465</v>
      </c>
      <c r="O2" s="331"/>
      <c r="P2" s="332">
        <f>YEAR(N2)</f>
        <v>2018</v>
      </c>
    </row>
    <row r="3" spans="1:16" ht="108" customHeight="1" x14ac:dyDescent="0.35">
      <c r="A3" s="304" t="s">
        <v>15</v>
      </c>
      <c r="B3" s="299" t="s">
        <v>4</v>
      </c>
      <c r="C3" s="279" t="s">
        <v>16</v>
      </c>
      <c r="D3" s="335" t="s">
        <v>24</v>
      </c>
      <c r="E3" s="321" t="s">
        <v>111</v>
      </c>
      <c r="F3" s="322" t="s">
        <v>47</v>
      </c>
      <c r="G3" s="292" t="s">
        <v>4</v>
      </c>
      <c r="H3" s="327">
        <v>10201079</v>
      </c>
      <c r="I3" s="292" t="s">
        <v>4</v>
      </c>
      <c r="J3" s="313">
        <f>IFERROR(H3/H4,NA())</f>
        <v>1.2615562717634086</v>
      </c>
      <c r="K3" s="327">
        <v>10812042</v>
      </c>
      <c r="L3" s="292" t="s">
        <v>4</v>
      </c>
      <c r="M3" s="313">
        <f>IFERROR(K3/K4,NA())</f>
        <v>1.4506783357354678</v>
      </c>
      <c r="N3" s="327"/>
      <c r="O3" s="292" t="s">
        <v>4</v>
      </c>
      <c r="P3" s="313" t="e">
        <f>IFERROR(N3/N4,NA())</f>
        <v>#N/A</v>
      </c>
    </row>
    <row r="4" spans="1:16" s="265" customFormat="1" ht="139.5" customHeight="1" x14ac:dyDescent="0.25">
      <c r="A4" s="305"/>
      <c r="B4" s="300"/>
      <c r="C4" s="282" t="s">
        <v>17</v>
      </c>
      <c r="D4" s="334" t="s">
        <v>115</v>
      </c>
      <c r="E4" s="284" t="s">
        <v>111</v>
      </c>
      <c r="F4" s="323" t="s">
        <v>28</v>
      </c>
      <c r="G4" s="281"/>
      <c r="H4" s="326">
        <v>8086107</v>
      </c>
      <c r="I4" s="281"/>
      <c r="J4" s="282"/>
      <c r="K4" s="326">
        <v>7453094</v>
      </c>
      <c r="L4" s="281"/>
      <c r="M4" s="282"/>
      <c r="N4" s="326"/>
      <c r="O4" s="281"/>
      <c r="P4" s="282"/>
    </row>
    <row r="5" spans="1:16" ht="16" thickBot="1" x14ac:dyDescent="0.4">
      <c r="A5" s="285"/>
      <c r="B5" s="301"/>
      <c r="C5" s="287"/>
      <c r="D5" s="336"/>
      <c r="E5" s="289"/>
      <c r="F5" s="315"/>
      <c r="G5" s="286"/>
      <c r="H5" s="315"/>
      <c r="I5" s="286"/>
      <c r="J5" s="287"/>
      <c r="K5" s="315"/>
      <c r="L5" s="286"/>
      <c r="M5" s="287"/>
      <c r="N5" s="315"/>
      <c r="O5" s="286"/>
      <c r="P5" s="287"/>
    </row>
    <row r="6" spans="1:16" ht="87.75" customHeight="1" x14ac:dyDescent="0.35">
      <c r="A6" s="304" t="s">
        <v>18</v>
      </c>
      <c r="B6" s="299" t="s">
        <v>4</v>
      </c>
      <c r="C6" s="279" t="s">
        <v>19</v>
      </c>
      <c r="D6" s="335" t="s">
        <v>22</v>
      </c>
      <c r="E6" s="294" t="s">
        <v>116</v>
      </c>
      <c r="F6" s="324" t="s">
        <v>78</v>
      </c>
      <c r="G6" s="278" t="s">
        <v>4</v>
      </c>
      <c r="H6" s="325">
        <v>12694357</v>
      </c>
      <c r="I6" s="278" t="s">
        <v>4</v>
      </c>
      <c r="J6" s="313">
        <f>IFERROR(H6/H7,NA())</f>
        <v>6.6115581828361609</v>
      </c>
      <c r="K6" s="325">
        <v>11607011</v>
      </c>
      <c r="L6" s="278" t="s">
        <v>4</v>
      </c>
      <c r="M6" s="313">
        <f>IFERROR(K6/K7,NA())</f>
        <v>5.474196969975659</v>
      </c>
      <c r="N6" s="325"/>
      <c r="O6" s="278" t="s">
        <v>4</v>
      </c>
      <c r="P6" s="313" t="e">
        <f>IFERROR(N6/N7,NA())</f>
        <v>#N/A</v>
      </c>
    </row>
    <row r="7" spans="1:16" s="265" customFormat="1" ht="55.15" customHeight="1" x14ac:dyDescent="0.25">
      <c r="A7" s="305"/>
      <c r="B7" s="300"/>
      <c r="C7" s="282" t="s">
        <v>20</v>
      </c>
      <c r="D7" s="334"/>
      <c r="E7" s="290" t="s">
        <v>117</v>
      </c>
      <c r="F7" s="323" t="s">
        <v>107</v>
      </c>
      <c r="G7" s="281"/>
      <c r="H7" s="326">
        <v>1920025</v>
      </c>
      <c r="I7" s="281"/>
      <c r="J7" s="316" t="s">
        <v>32</v>
      </c>
      <c r="K7" s="326">
        <v>2120313</v>
      </c>
      <c r="L7" s="281"/>
      <c r="M7" s="316" t="s">
        <v>32</v>
      </c>
      <c r="N7" s="326"/>
      <c r="O7" s="281"/>
      <c r="P7" s="316" t="s">
        <v>32</v>
      </c>
    </row>
    <row r="8" spans="1:16" ht="16" thickBot="1" x14ac:dyDescent="0.4">
      <c r="A8" s="285"/>
      <c r="B8" s="301"/>
      <c r="C8" s="287"/>
      <c r="D8" s="336"/>
      <c r="E8" s="289"/>
      <c r="F8" s="315"/>
      <c r="G8" s="286"/>
      <c r="H8" s="315"/>
      <c r="I8" s="286"/>
      <c r="J8" s="287"/>
      <c r="K8" s="315"/>
      <c r="L8" s="286"/>
      <c r="M8" s="287"/>
      <c r="N8" s="315"/>
      <c r="O8" s="286"/>
      <c r="P8" s="287"/>
    </row>
    <row r="9" spans="1:16" ht="15.5" x14ac:dyDescent="0.35">
      <c r="A9" s="277"/>
      <c r="B9" s="295"/>
      <c r="C9" s="271"/>
      <c r="D9" s="335"/>
      <c r="E9" s="291"/>
      <c r="F9" s="317"/>
      <c r="G9" s="270"/>
      <c r="H9" s="317"/>
      <c r="I9" s="270"/>
      <c r="J9" s="271"/>
      <c r="K9" s="317"/>
      <c r="L9" s="270"/>
      <c r="M9" s="271"/>
      <c r="N9" s="317"/>
      <c r="O9" s="270"/>
      <c r="P9" s="271"/>
    </row>
    <row r="10" spans="1:16" ht="129" customHeight="1" x14ac:dyDescent="0.35">
      <c r="A10" s="306" t="s">
        <v>1</v>
      </c>
      <c r="B10" s="302" t="s">
        <v>4</v>
      </c>
      <c r="C10" s="293" t="s">
        <v>2</v>
      </c>
      <c r="D10" s="334" t="s">
        <v>35</v>
      </c>
      <c r="E10" s="294" t="s">
        <v>118</v>
      </c>
      <c r="F10" s="322" t="s">
        <v>101</v>
      </c>
      <c r="G10" s="292" t="s">
        <v>4</v>
      </c>
      <c r="H10" s="327">
        <v>18748942</v>
      </c>
      <c r="I10" s="292" t="s">
        <v>4</v>
      </c>
      <c r="J10" s="318">
        <f>IFERROR(H10/H11,NA())</f>
        <v>0.79606408800660289</v>
      </c>
      <c r="K10" s="327">
        <v>19334761</v>
      </c>
      <c r="L10" s="292" t="s">
        <v>4</v>
      </c>
      <c r="M10" s="318">
        <f>IFERROR(K10/K11,NA())</f>
        <v>0.76615906300698977</v>
      </c>
      <c r="N10" s="327"/>
      <c r="O10" s="292" t="s">
        <v>4</v>
      </c>
      <c r="P10" s="318" t="e">
        <f>IFERROR(N10/N11,NA())</f>
        <v>#N/A</v>
      </c>
    </row>
    <row r="11" spans="1:16" s="265" customFormat="1" ht="55.15" customHeight="1" x14ac:dyDescent="0.25">
      <c r="A11" s="305"/>
      <c r="B11" s="300"/>
      <c r="C11" s="282" t="s">
        <v>3</v>
      </c>
      <c r="D11" s="334"/>
      <c r="E11" s="290" t="s">
        <v>105</v>
      </c>
      <c r="F11" s="323" t="s">
        <v>94</v>
      </c>
      <c r="G11" s="281"/>
      <c r="H11" s="326">
        <v>23552051</v>
      </c>
      <c r="I11" s="281"/>
      <c r="J11" s="282"/>
      <c r="K11" s="326">
        <v>25235962</v>
      </c>
      <c r="L11" s="281"/>
      <c r="M11" s="282"/>
      <c r="N11" s="326"/>
      <c r="O11" s="281"/>
      <c r="P11" s="282"/>
    </row>
    <row r="12" spans="1:16" ht="16" thickBot="1" x14ac:dyDescent="0.4">
      <c r="A12" s="319"/>
      <c r="B12" s="301"/>
      <c r="C12" s="303"/>
      <c r="D12" s="287"/>
      <c r="E12" s="289"/>
      <c r="F12" s="315"/>
      <c r="G12" s="286"/>
      <c r="H12" s="315"/>
      <c r="I12" s="286"/>
      <c r="J12" s="287"/>
      <c r="K12" s="315"/>
      <c r="L12" s="286"/>
      <c r="M12" s="287"/>
      <c r="N12" s="315"/>
      <c r="O12" s="286"/>
      <c r="P12" s="287"/>
    </row>
    <row r="13" spans="1:16" s="69" customFormat="1" ht="24" customHeight="1" x14ac:dyDescent="0.25">
      <c r="D13" s="268"/>
      <c r="E13" s="268"/>
      <c r="F13" s="182"/>
      <c r="G13" s="268"/>
      <c r="H13" s="138"/>
      <c r="I13" s="138"/>
      <c r="J13" s="138"/>
      <c r="K13" s="268"/>
      <c r="L13" s="268"/>
      <c r="M13" s="268"/>
      <c r="N13" s="268"/>
      <c r="O13" s="268"/>
      <c r="P13" s="268"/>
    </row>
    <row r="14" spans="1:16" ht="25.5" customHeight="1" x14ac:dyDescent="0.25"/>
  </sheetData>
  <mergeCells count="2">
    <mergeCell ref="D1:D2"/>
    <mergeCell ref="F1:P1"/>
  </mergeCells>
  <pageMargins left="0.7" right="0.7" top="0.75" bottom="0.75" header="0.3" footer="0.3"/>
  <pageSetup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4"/>
  <sheetViews>
    <sheetView workbookViewId="0">
      <selection activeCell="W4" sqref="W4"/>
    </sheetView>
  </sheetViews>
  <sheetFormatPr defaultColWidth="8.81640625" defaultRowHeight="12.5" x14ac:dyDescent="0.25"/>
  <cols>
    <col min="1" max="1" width="11.1796875" style="74" customWidth="1"/>
    <col min="2" max="2" width="3.7265625" style="74" customWidth="1"/>
    <col min="3" max="3" width="21.26953125" style="74" customWidth="1"/>
    <col min="4" max="4" width="28.26953125" style="74" customWidth="1"/>
    <col min="5" max="5" width="19.26953125" style="74" customWidth="1"/>
    <col min="6" max="6" width="20.1796875" style="266" customWidth="1"/>
    <col min="7" max="7" width="2.7265625" style="266" customWidth="1"/>
    <col min="8" max="8" width="22.26953125" style="267" bestFit="1" customWidth="1"/>
    <col min="9" max="9" width="2.7265625" style="267" customWidth="1"/>
    <col min="10" max="10" width="9.26953125" style="267" customWidth="1"/>
    <col min="11" max="11" width="21.54296875" style="266" customWidth="1"/>
    <col min="12" max="12" width="2.81640625" style="266" customWidth="1"/>
    <col min="13" max="13" width="7.26953125" style="266" customWidth="1"/>
    <col min="14" max="14" width="21.54296875" style="266" customWidth="1"/>
    <col min="15" max="15" width="2.1796875" style="266" customWidth="1"/>
    <col min="16" max="16" width="6.81640625" style="266" customWidth="1"/>
    <col min="17" max="16384" width="8.81640625" style="74"/>
  </cols>
  <sheetData>
    <row r="1" spans="1:16" ht="38.25" customHeight="1" thickBot="1" x14ac:dyDescent="0.45">
      <c r="A1" s="307"/>
      <c r="B1" s="295"/>
      <c r="C1" s="296"/>
      <c r="D1" s="343" t="s">
        <v>25</v>
      </c>
      <c r="E1" s="272" t="s">
        <v>103</v>
      </c>
      <c r="F1" s="392" t="s">
        <v>109</v>
      </c>
      <c r="G1" s="393"/>
      <c r="H1" s="393"/>
      <c r="I1" s="393"/>
      <c r="J1" s="393"/>
      <c r="K1" s="393"/>
      <c r="L1" s="393"/>
      <c r="M1" s="393"/>
      <c r="N1" s="393"/>
      <c r="O1" s="393"/>
      <c r="P1" s="393"/>
    </row>
    <row r="2" spans="1:16" s="264" customFormat="1" ht="32.25" customHeight="1" thickBot="1" x14ac:dyDescent="0.4">
      <c r="A2" s="309" t="s">
        <v>0</v>
      </c>
      <c r="B2" s="297"/>
      <c r="C2" s="298" t="s">
        <v>31</v>
      </c>
      <c r="D2" s="344"/>
      <c r="E2" s="328" t="s">
        <v>104</v>
      </c>
      <c r="F2" s="329" t="s">
        <v>106</v>
      </c>
      <c r="G2" s="330"/>
      <c r="H2" s="333">
        <v>42735</v>
      </c>
      <c r="I2" s="331"/>
      <c r="J2" s="332">
        <f>YEAR(H2)</f>
        <v>2016</v>
      </c>
      <c r="K2" s="333">
        <v>43100</v>
      </c>
      <c r="L2" s="331"/>
      <c r="M2" s="332">
        <f>YEAR(K2)</f>
        <v>2017</v>
      </c>
      <c r="N2" s="333">
        <v>43465</v>
      </c>
      <c r="O2" s="331"/>
      <c r="P2" s="332">
        <f>YEAR(N2)</f>
        <v>2018</v>
      </c>
    </row>
    <row r="3" spans="1:16" ht="96" customHeight="1" x14ac:dyDescent="0.35">
      <c r="A3" s="304" t="s">
        <v>15</v>
      </c>
      <c r="B3" s="299" t="s">
        <v>4</v>
      </c>
      <c r="C3" s="279" t="s">
        <v>16</v>
      </c>
      <c r="D3" s="280" t="s">
        <v>24</v>
      </c>
      <c r="E3" s="321" t="s">
        <v>111</v>
      </c>
      <c r="F3" s="322" t="s">
        <v>47</v>
      </c>
      <c r="G3" s="292" t="s">
        <v>4</v>
      </c>
      <c r="H3" s="327">
        <v>4715061</v>
      </c>
      <c r="I3" s="292" t="s">
        <v>4</v>
      </c>
      <c r="J3" s="313">
        <f>IFERROR(H3/H4,NA())</f>
        <v>14.270420207743154</v>
      </c>
      <c r="K3" s="327">
        <v>4618357</v>
      </c>
      <c r="L3" s="292" t="s">
        <v>4</v>
      </c>
      <c r="M3" s="313">
        <f>IFERROR(K3/K4,NA())</f>
        <v>18.284946768708156</v>
      </c>
      <c r="N3" s="327"/>
      <c r="O3" s="292" t="s">
        <v>4</v>
      </c>
      <c r="P3" s="313" t="e">
        <f>IFERROR(N3/N4,NA())</f>
        <v>#N/A</v>
      </c>
    </row>
    <row r="4" spans="1:16" s="265" customFormat="1" ht="137.25" customHeight="1" x14ac:dyDescent="0.25">
      <c r="A4" s="305"/>
      <c r="B4" s="300"/>
      <c r="C4" s="282" t="s">
        <v>17</v>
      </c>
      <c r="D4" s="282" t="s">
        <v>114</v>
      </c>
      <c r="E4" s="284" t="s">
        <v>111</v>
      </c>
      <c r="F4" s="323" t="s">
        <v>28</v>
      </c>
      <c r="G4" s="281"/>
      <c r="H4" s="326">
        <v>330408</v>
      </c>
      <c r="I4" s="281"/>
      <c r="J4" s="282"/>
      <c r="K4" s="326">
        <v>252577</v>
      </c>
      <c r="L4" s="281"/>
      <c r="M4" s="282"/>
      <c r="N4" s="326"/>
      <c r="O4" s="281"/>
      <c r="P4" s="282"/>
    </row>
    <row r="5" spans="1:16" ht="16" thickBot="1" x14ac:dyDescent="0.4">
      <c r="A5" s="285"/>
      <c r="B5" s="301"/>
      <c r="C5" s="287"/>
      <c r="D5" s="288"/>
      <c r="E5" s="289"/>
      <c r="F5" s="315"/>
      <c r="G5" s="286"/>
      <c r="H5" s="315"/>
      <c r="I5" s="286"/>
      <c r="J5" s="287"/>
      <c r="K5" s="315"/>
      <c r="L5" s="286"/>
      <c r="M5" s="287"/>
      <c r="N5" s="315"/>
      <c r="O5" s="286"/>
      <c r="P5" s="287"/>
    </row>
    <row r="6" spans="1:16" ht="68.25" customHeight="1" x14ac:dyDescent="0.35">
      <c r="A6" s="304" t="s">
        <v>18</v>
      </c>
      <c r="B6" s="299" t="s">
        <v>4</v>
      </c>
      <c r="C6" s="279" t="s">
        <v>19</v>
      </c>
      <c r="D6" s="280" t="s">
        <v>22</v>
      </c>
      <c r="E6" s="294" t="s">
        <v>111</v>
      </c>
      <c r="F6" s="324" t="s">
        <v>78</v>
      </c>
      <c r="G6" s="278" t="s">
        <v>4</v>
      </c>
      <c r="H6" s="325">
        <v>2206355</v>
      </c>
      <c r="I6" s="278" t="s">
        <v>4</v>
      </c>
      <c r="J6" s="313">
        <f>IFERROR(H6/H7,NA())</f>
        <v>5.8554758201920372</v>
      </c>
      <c r="K6" s="325">
        <v>2192293</v>
      </c>
      <c r="L6" s="278" t="s">
        <v>4</v>
      </c>
      <c r="M6" s="313">
        <f>IFERROR(K6/K7,NA())</f>
        <v>5.6270354209445586</v>
      </c>
      <c r="N6" s="325"/>
      <c r="O6" s="278" t="s">
        <v>4</v>
      </c>
      <c r="P6" s="313" t="e">
        <f>IFERROR(N6/N7,NA())</f>
        <v>#N/A</v>
      </c>
    </row>
    <row r="7" spans="1:16" s="265" customFormat="1" ht="55.15" customHeight="1" x14ac:dyDescent="0.25">
      <c r="A7" s="305"/>
      <c r="B7" s="300"/>
      <c r="C7" s="282" t="s">
        <v>20</v>
      </c>
      <c r="D7" s="282"/>
      <c r="E7" s="290" t="s">
        <v>112</v>
      </c>
      <c r="F7" s="323" t="s">
        <v>107</v>
      </c>
      <c r="G7" s="281"/>
      <c r="H7" s="326">
        <v>376802</v>
      </c>
      <c r="I7" s="281"/>
      <c r="J7" s="316" t="s">
        <v>32</v>
      </c>
      <c r="K7" s="326">
        <v>389600</v>
      </c>
      <c r="L7" s="281"/>
      <c r="M7" s="316" t="s">
        <v>32</v>
      </c>
      <c r="N7" s="326"/>
      <c r="O7" s="281"/>
      <c r="P7" s="316" t="s">
        <v>32</v>
      </c>
    </row>
    <row r="8" spans="1:16" ht="16" thickBot="1" x14ac:dyDescent="0.4">
      <c r="A8" s="285"/>
      <c r="B8" s="301"/>
      <c r="C8" s="287"/>
      <c r="D8" s="288"/>
      <c r="E8" s="289"/>
      <c r="F8" s="315"/>
      <c r="G8" s="286"/>
      <c r="H8" s="315"/>
      <c r="I8" s="286"/>
      <c r="J8" s="287"/>
      <c r="K8" s="315"/>
      <c r="L8" s="286"/>
      <c r="M8" s="287"/>
      <c r="N8" s="315"/>
      <c r="O8" s="286"/>
      <c r="P8" s="287"/>
    </row>
    <row r="9" spans="1:16" ht="15.5" x14ac:dyDescent="0.35">
      <c r="A9" s="277"/>
      <c r="B9" s="295"/>
      <c r="C9" s="271"/>
      <c r="D9" s="280"/>
      <c r="E9" s="291"/>
      <c r="F9" s="317"/>
      <c r="G9" s="270"/>
      <c r="H9" s="317"/>
      <c r="I9" s="270"/>
      <c r="J9" s="271"/>
      <c r="K9" s="317"/>
      <c r="L9" s="270"/>
      <c r="M9" s="271"/>
      <c r="N9" s="317"/>
      <c r="O9" s="270"/>
      <c r="P9" s="271"/>
    </row>
    <row r="10" spans="1:16" ht="123" customHeight="1" x14ac:dyDescent="0.35">
      <c r="A10" s="306" t="s">
        <v>1</v>
      </c>
      <c r="B10" s="302" t="s">
        <v>4</v>
      </c>
      <c r="C10" s="293" t="s">
        <v>2</v>
      </c>
      <c r="D10" s="282" t="s">
        <v>35</v>
      </c>
      <c r="E10" s="294" t="s">
        <v>119</v>
      </c>
      <c r="F10" s="322" t="s">
        <v>101</v>
      </c>
      <c r="G10" s="292" t="s">
        <v>4</v>
      </c>
      <c r="H10" s="327">
        <v>1468918</v>
      </c>
      <c r="I10" s="292" t="s">
        <v>4</v>
      </c>
      <c r="J10" s="318">
        <f>IFERROR(H10/H11,NA())</f>
        <v>0.37779500968973556</v>
      </c>
      <c r="K10" s="327">
        <v>1682482</v>
      </c>
      <c r="L10" s="292" t="s">
        <v>4</v>
      </c>
      <c r="M10" s="318">
        <f>IFERROR(K10/K11,NA())</f>
        <v>0.37355192960230338</v>
      </c>
      <c r="N10" s="327"/>
      <c r="O10" s="292" t="s">
        <v>4</v>
      </c>
      <c r="P10" s="318" t="e">
        <f>IFERROR(N10/N11,NA())</f>
        <v>#N/A</v>
      </c>
    </row>
    <row r="11" spans="1:16" s="265" customFormat="1" ht="55.15" customHeight="1" x14ac:dyDescent="0.25">
      <c r="A11" s="305"/>
      <c r="B11" s="300"/>
      <c r="C11" s="282" t="s">
        <v>3</v>
      </c>
      <c r="D11" s="282"/>
      <c r="E11" s="290" t="s">
        <v>112</v>
      </c>
      <c r="F11" s="323" t="s">
        <v>94</v>
      </c>
      <c r="G11" s="281"/>
      <c r="H11" s="326">
        <v>3888135</v>
      </c>
      <c r="I11" s="281"/>
      <c r="J11" s="282"/>
      <c r="K11" s="326">
        <v>4504011</v>
      </c>
      <c r="L11" s="281"/>
      <c r="M11" s="282"/>
      <c r="N11" s="326"/>
      <c r="O11" s="281"/>
      <c r="P11" s="282"/>
    </row>
    <row r="12" spans="1:16" ht="16" thickBot="1" x14ac:dyDescent="0.4">
      <c r="A12" s="319"/>
      <c r="B12" s="301"/>
      <c r="C12" s="303"/>
      <c r="D12" s="287"/>
      <c r="E12" s="289"/>
      <c r="F12" s="315"/>
      <c r="G12" s="286"/>
      <c r="H12" s="315"/>
      <c r="I12" s="286"/>
      <c r="J12" s="287"/>
      <c r="K12" s="315"/>
      <c r="L12" s="286"/>
      <c r="M12" s="287"/>
      <c r="N12" s="315"/>
      <c r="O12" s="286"/>
      <c r="P12" s="287"/>
    </row>
    <row r="13" spans="1:16" s="69" customFormat="1" ht="24" customHeight="1" x14ac:dyDescent="0.25">
      <c r="D13" s="268"/>
      <c r="E13" s="268"/>
      <c r="F13" s="182"/>
      <c r="G13" s="268"/>
      <c r="H13" s="138"/>
      <c r="I13" s="138"/>
      <c r="J13" s="138"/>
      <c r="K13" s="268"/>
      <c r="L13" s="268"/>
      <c r="M13" s="268"/>
      <c r="N13" s="268"/>
      <c r="O13" s="268"/>
      <c r="P13" s="268"/>
    </row>
    <row r="14" spans="1:16" ht="25.5" customHeight="1" x14ac:dyDescent="0.25"/>
  </sheetData>
  <mergeCells count="2">
    <mergeCell ref="D1:D2"/>
    <mergeCell ref="F1:P1"/>
  </mergeCells>
  <pageMargins left="0.7" right="0.7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Agency Worksheet</vt:lpstr>
      <vt:lpstr>(Did not Apply) - PATH Ventures</vt:lpstr>
      <vt:lpstr>DNA - Glendale Adventist Med </vt:lpstr>
      <vt:lpstr>DNA - Armenian Yth Assc of CA</vt:lpstr>
      <vt:lpstr>DNA - All for Hlth</vt:lpstr>
      <vt:lpstr>DNA - Glendale Healthy Kids</vt:lpstr>
      <vt:lpstr>CCHC</vt:lpstr>
      <vt:lpstr>YMCA</vt:lpstr>
      <vt:lpstr>AGBU</vt:lpstr>
      <vt:lpstr>'(Did not Apply) - PATH Ventures'!Print_Area</vt:lpstr>
      <vt:lpstr>'DNA - All for Hlth'!Print_Area</vt:lpstr>
      <vt:lpstr>'DNA - Armenian Yth Assc of CA'!Print_Area</vt:lpstr>
      <vt:lpstr>'DNA - Glendale Adventist Med '!Print_Area</vt:lpstr>
      <vt:lpstr>'DNA - Glendale Healthy Kids'!Print_Area</vt:lpstr>
      <vt:lpstr>'(Did not Apply) - PATH Ventures'!Print_Titles</vt:lpstr>
      <vt:lpstr>'DNA - All for Hlth'!Print_Titles</vt:lpstr>
      <vt:lpstr>'DNA - Armenian Yth Assc of CA'!Print_Titles</vt:lpstr>
    </vt:vector>
  </TitlesOfParts>
  <Company>City of Glendale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Minami</dc:creator>
  <cp:lastModifiedBy>Kavarian, Maggie</cp:lastModifiedBy>
  <cp:lastPrinted>2020-10-27T21:03:19Z</cp:lastPrinted>
  <dcterms:created xsi:type="dcterms:W3CDTF">2011-10-07T21:57:29Z</dcterms:created>
  <dcterms:modified xsi:type="dcterms:W3CDTF">2024-10-17T19:17:18Z</dcterms:modified>
</cp:coreProperties>
</file>